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MIT" sheetId="1" r:id="rId1"/>
  </sheets>
  <definedNames>
    <definedName name="_xlnm.Print_Area" localSheetId="0">'COMMIT'!$A$4:$J$178</definedName>
  </definedNames>
  <calcPr fullCalcOnLoad="1"/>
</workbook>
</file>

<file path=xl/sharedStrings.xml><?xml version="1.0" encoding="utf-8"?>
<sst xmlns="http://schemas.openxmlformats.org/spreadsheetml/2006/main" count="283" uniqueCount="214">
  <si>
    <t>a</t>
  </si>
  <si>
    <t>b</t>
  </si>
  <si>
    <t>c=(a+b)</t>
  </si>
  <si>
    <t>d</t>
  </si>
  <si>
    <t>e</t>
  </si>
  <si>
    <t>f</t>
  </si>
  <si>
    <t>g=(e+f)</t>
  </si>
  <si>
    <t>h</t>
  </si>
  <si>
    <t>TOTAL</t>
  </si>
  <si>
    <t>2</t>
  </si>
  <si>
    <t>0001</t>
  </si>
  <si>
    <t>0020</t>
  </si>
  <si>
    <t>0021</t>
  </si>
  <si>
    <t>0036</t>
  </si>
  <si>
    <t>0056</t>
  </si>
  <si>
    <t>0066</t>
  </si>
  <si>
    <t>0090</t>
  </si>
  <si>
    <t>0091</t>
  </si>
  <si>
    <t>0096</t>
  </si>
  <si>
    <t>0100</t>
  </si>
  <si>
    <t>0110</t>
  </si>
  <si>
    <t>0120</t>
  </si>
  <si>
    <t>1</t>
  </si>
  <si>
    <t>1000</t>
  </si>
  <si>
    <t>1100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</si>
  <si>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</si>
  <si>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</si>
  <si>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</si>
  <si>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</si>
  <si>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</si>
  <si>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</si>
  <si>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</si>
  <si>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</si>
  <si>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</si>
  <si>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2310</t>
  </si>
  <si>
    <t>2311</t>
  </si>
  <si>
    <t>2312</t>
  </si>
  <si>
    <t>2313</t>
  </si>
  <si>
    <t>2314</t>
  </si>
  <si>
    <t>2330</t>
  </si>
  <si>
    <t>2340</t>
  </si>
  <si>
    <t>2360/70</t>
  </si>
  <si>
    <t>2375</t>
  </si>
  <si>
    <t>2400</t>
  </si>
  <si>
    <t>2500</t>
  </si>
  <si>
    <t>2600</t>
  </si>
  <si>
    <t>2700</t>
  </si>
  <si>
    <t>2800</t>
  </si>
  <si>
    <t>2900</t>
  </si>
  <si>
    <t>3000</t>
  </si>
  <si>
    <t>3020</t>
  </si>
  <si>
    <t>3030</t>
  </si>
  <si>
    <t>3035</t>
  </si>
  <si>
    <t>3041</t>
  </si>
  <si>
    <t>3042</t>
  </si>
  <si>
    <t>3051</t>
  </si>
  <si>
    <t>3053</t>
  </si>
  <si>
    <t>3055</t>
  </si>
  <si>
    <t>3061</t>
  </si>
  <si>
    <t>3062</t>
  </si>
  <si>
    <t>3063</t>
  </si>
  <si>
    <t>3100</t>
  </si>
  <si>
    <t>3200</t>
  </si>
  <si>
    <t>3300</t>
  </si>
  <si>
    <t>3600</t>
  </si>
  <si>
    <t>3400</t>
  </si>
  <si>
    <t>7000</t>
  </si>
  <si>
    <t>7001</t>
  </si>
  <si>
    <t>7100</t>
  </si>
  <si>
    <t>7200</t>
  </si>
  <si>
    <t>7300</t>
  </si>
  <si>
    <t>7500</t>
  </si>
  <si>
    <t>0000</t>
  </si>
  <si>
    <t>Date</t>
  </si>
  <si>
    <t>Nru. Tal-Kont</t>
  </si>
  <si>
    <t>DESKRIZZJONI</t>
  </si>
  <si>
    <t>ATTWALI</t>
  </si>
  <si>
    <t>ESTIMI</t>
  </si>
  <si>
    <t>DHUL</t>
  </si>
  <si>
    <t>Generali</t>
  </si>
  <si>
    <t>Manutenzjoni u xoghlijiet ohra</t>
  </si>
  <si>
    <t>Bilanc</t>
  </si>
  <si>
    <r>
      <t xml:space="preserve">Bilanci ta'flus fl-idejn u fil-bank fil-bidu </t>
    </r>
    <r>
      <rPr>
        <i/>
        <sz val="7"/>
        <rFont val="Arial"/>
        <family val="2"/>
      </rPr>
      <t>(opening balances</t>
    </r>
    <r>
      <rPr>
        <sz val="7"/>
        <rFont val="Arial"/>
        <family val="2"/>
      </rPr>
      <t>)</t>
    </r>
  </si>
  <si>
    <t>Naqqas:</t>
  </si>
  <si>
    <t>Zid:</t>
  </si>
  <si>
    <t>Bilanc (surplus/deficit)</t>
  </si>
  <si>
    <t>Fondi disponibbli</t>
  </si>
  <si>
    <t>Allokazzjoni ghas-sena finanzjarja kurrenti tal-Kunsill Lokali</t>
  </si>
  <si>
    <t>% Indikatur tal-Qaghda Finanzjarja</t>
  </si>
  <si>
    <t>Noti:</t>
  </si>
  <si>
    <t>L-ammonti mdahhla fil-kolonna (Attwali) ikunu il-figuri mehuda mir-rapporti tas-Sage</t>
  </si>
  <si>
    <t xml:space="preserve">L-ammonti mdahhla fil-kolonna (Committed) ikunu dawk l-ammonti li ma jkunux ghadhom dahlu fis-Sage bhala Kredituri jew </t>
  </si>
  <si>
    <r>
      <t xml:space="preserve">Accruals f'kaz ta' infiq u kull dhul </t>
    </r>
    <r>
      <rPr>
        <i/>
        <sz val="10"/>
        <rFont val="Arial"/>
        <family val="2"/>
      </rPr>
      <t>accrued</t>
    </r>
    <r>
      <rPr>
        <sz val="10"/>
        <rFont val="Arial"/>
        <family val="0"/>
      </rPr>
      <t xml:space="preserve"> jew ammonti dovuti li ghadhom pendenti.</t>
    </r>
  </si>
  <si>
    <r>
      <t xml:space="preserve">parti minnhom huma lesti. L-ammont marbut </t>
    </r>
    <r>
      <rPr>
        <i/>
        <sz val="10"/>
        <rFont val="Arial"/>
        <family val="2"/>
      </rPr>
      <t>(committed)</t>
    </r>
    <r>
      <rPr>
        <sz val="10"/>
        <rFont val="Arial"/>
        <family val="0"/>
      </rPr>
      <t xml:space="preserve">  mal-progett (li ghadu mhux utilizzat) ikun irid jitnizzel f'din il-parti   </t>
    </r>
  </si>
  <si>
    <t>Dikjarazzjoni:</t>
  </si>
  <si>
    <t xml:space="preserve">fid-data ta' meta qed jigu iffirmati  u kull irbit (commitments) gie inkluz f'dan ir-rendikont finanzjarju. </t>
  </si>
  <si>
    <t>Sindku</t>
  </si>
  <si>
    <t>Sena</t>
  </si>
  <si>
    <t>2.2 Dettalji tad-dhul</t>
  </si>
  <si>
    <t>Nru tal-Kont</t>
  </si>
  <si>
    <t xml:space="preserve">DESKRIZZJONI </t>
  </si>
  <si>
    <t>2.3 Dettalji ta' l-Infiq</t>
  </si>
  <si>
    <t xml:space="preserve">Nru ta' l-Kont </t>
  </si>
  <si>
    <t xml:space="preserve">ATTWALI </t>
  </si>
  <si>
    <t>Manutenzjoni u Xoghlijiet Ohra</t>
  </si>
  <si>
    <t xml:space="preserve">           Proprjeta Pubblika</t>
  </si>
  <si>
    <t xml:space="preserve">           Toroq u bankini</t>
  </si>
  <si>
    <t xml:space="preserve">          Passaggi</t>
  </si>
  <si>
    <t xml:space="preserve">           Sinjali</t>
  </si>
  <si>
    <t xml:space="preserve">           Marki tat-toroq</t>
  </si>
  <si>
    <t xml:space="preserve">           Ghamara ghall-uffiju u accessorji </t>
  </si>
  <si>
    <t xml:space="preserve">           Impjant u makkinarju</t>
  </si>
  <si>
    <t xml:space="preserve">          Tiswijiet u manutenzjoni ohra</t>
  </si>
  <si>
    <t xml:space="preserve">           Proprjeta tal-Kunsill</t>
  </si>
  <si>
    <t xml:space="preserve">           Kiri ta' taghmir</t>
  </si>
  <si>
    <t xml:space="preserve">           Gbir ta' skart</t>
  </si>
  <si>
    <t xml:space="preserve">           Gbir ta' skart goff</t>
  </si>
  <si>
    <t xml:space="preserve">           Tindif ta' toroq</t>
  </si>
  <si>
    <t xml:space="preserve">           Tindif ta' latrini pubblici</t>
  </si>
  <si>
    <t xml:space="preserve">           Tindif ta' l-ufficini tal-kunsill</t>
  </si>
  <si>
    <t xml:space="preserve">           Tindif u manutenzjoni - Verges</t>
  </si>
  <si>
    <t>Infieq Kapitali</t>
  </si>
  <si>
    <t>INFIQ</t>
  </si>
  <si>
    <t>Infiq kapitali</t>
  </si>
  <si>
    <t>Mill-Gvern</t>
  </si>
  <si>
    <t xml:space="preserve">  Annwali</t>
  </si>
  <si>
    <t>0002</t>
  </si>
  <si>
    <t xml:space="preserve">  Supplimentari</t>
  </si>
  <si>
    <t>0003</t>
  </si>
  <si>
    <t>0004</t>
  </si>
  <si>
    <t>0015</t>
  </si>
  <si>
    <t xml:space="preserve">  Bzonnijiet Specjali</t>
  </si>
  <si>
    <t xml:space="preserve">  Delegazzjonijiet Pubblici/Governattivi</t>
  </si>
  <si>
    <t>Dhul</t>
  </si>
  <si>
    <t>Il-'Bye-laws'</t>
  </si>
  <si>
    <t xml:space="preserve">  Servizzi Komunitarji</t>
  </si>
  <si>
    <t xml:space="preserve">  Ghotjiet Sponsorjali</t>
  </si>
  <si>
    <t xml:space="preserve">  Generali</t>
  </si>
  <si>
    <t>L-Investiment</t>
  </si>
  <si>
    <t xml:space="preserve">  Sigurtajiet tal-Gvern</t>
  </si>
  <si>
    <t xml:space="preserve">  Imghax tal-Bank</t>
  </si>
  <si>
    <t xml:space="preserve">  Donazzjonijiet</t>
  </si>
  <si>
    <t xml:space="preserve">  Kontribuzzjonijiet</t>
  </si>
  <si>
    <t xml:space="preserve">  Ksur tal-'bye-laws' u kontravenzzjonijiet</t>
  </si>
  <si>
    <t>Is-Salarji</t>
  </si>
  <si>
    <t xml:space="preserve">  L-Onorarju tas-Sindku</t>
  </si>
  <si>
    <t xml:space="preserve">  Pagi ta' l-Impjegati</t>
  </si>
  <si>
    <t xml:space="preserve">  Bonus</t>
  </si>
  <si>
    <t xml:space="preserve">  Sahra</t>
  </si>
  <si>
    <t xml:space="preserve">  Dhul Supplimentari</t>
  </si>
  <si>
    <t xml:space="preserve">  Kontribuzzjonijiet tas-Sigurtà Socjali</t>
  </si>
  <si>
    <t xml:space="preserve">  Koncessjonijiet ('Allowances')</t>
  </si>
  <si>
    <t>2300</t>
  </si>
  <si>
    <t xml:space="preserve">  Servizzi (Dawl, ilma telefon ecc)</t>
  </si>
  <si>
    <t xml:space="preserve">  Xiri ta' materjal u fornimenti</t>
  </si>
  <si>
    <t xml:space="preserve">  Tiswijiet u manutenzjoni</t>
  </si>
  <si>
    <t xml:space="preserve">  Kera</t>
  </si>
  <si>
    <t xml:space="preserve">  Shubija f'ghaqdiet nazzjonali/internazzjonali</t>
  </si>
  <si>
    <t xml:space="preserve">  Spejjez tal-Ufficcju</t>
  </si>
  <si>
    <t xml:space="preserve">  Safar u vvjaggar</t>
  </si>
  <si>
    <t>Taghrif lill-pubbliku</t>
  </si>
  <si>
    <t xml:space="preserve">  Spejjez ta' kuntratti</t>
  </si>
  <si>
    <t xml:space="preserve">           Polza ta' Assigurazzjoni</t>
  </si>
  <si>
    <t xml:space="preserve">           Spejjez Bankarji</t>
  </si>
  <si>
    <t xml:space="preserve">           Tindif u manutenzjoni gonna pubblici</t>
  </si>
  <si>
    <t xml:space="preserve">  Tahrig</t>
  </si>
  <si>
    <t xml:space="preserve">  Ospitalita' u Servizzi lill-Komunita'</t>
  </si>
  <si>
    <t xml:space="preserve">  Spejjez ohra li jinqalghu</t>
  </si>
  <si>
    <t xml:space="preserve">  Spejjez ta' l-infurzar lokali (LES)</t>
  </si>
  <si>
    <t xml:space="preserve">  Xiri ta' proprejta</t>
  </si>
  <si>
    <t xml:space="preserve">  Bini</t>
  </si>
  <si>
    <t xml:space="preserve">  Titjib</t>
  </si>
  <si>
    <t xml:space="preserve">  Makkinarju u Apparat</t>
  </si>
  <si>
    <t xml:space="preserve">  Programmi  Specjali</t>
  </si>
  <si>
    <t>2.1 Dettalji Konsolidati ta' Dhul u Infiq</t>
  </si>
  <si>
    <t>Infiq</t>
  </si>
  <si>
    <t>Il-"Bye-Laws"</t>
  </si>
  <si>
    <t>Spejjez diga marbutin (commitments)</t>
  </si>
  <si>
    <t xml:space="preserve">Irbit (commitments) ghall-futur ghandhom jinkludu l-offerti kollha li jkunu nghataw u li jkunu ghadhom ma gewx fis-sehh jew li  </t>
  </si>
  <si>
    <t>u jinghataw dettalji dwar dawn il-progetti.</t>
  </si>
  <si>
    <t>Is-Sindku u s-Segretarju Ezekuttiv jiddikjaraw illi r-rendikont t'hawn fuq juri stampa reali u vera tal-qaghda finanzjarja tal-Kunsill</t>
  </si>
  <si>
    <t>Kwart</t>
  </si>
  <si>
    <t>MARBUTA</t>
  </si>
  <si>
    <t>Depreciation</t>
  </si>
  <si>
    <t>Number of Employees</t>
  </si>
  <si>
    <t>Full time</t>
  </si>
  <si>
    <t>Part time</t>
  </si>
  <si>
    <t xml:space="preserve">  Ohrajn</t>
  </si>
  <si>
    <t>€</t>
  </si>
  <si>
    <t>1150</t>
  </si>
  <si>
    <t xml:space="preserve"> Allowance tal-Kunsillieri</t>
  </si>
  <si>
    <t>3043</t>
  </si>
  <si>
    <t>3044</t>
  </si>
  <si>
    <t xml:space="preserve">           Kera ta' skips miftuhin</t>
  </si>
  <si>
    <t xml:space="preserve">           Bring-in Sites</t>
  </si>
  <si>
    <t>3050</t>
  </si>
  <si>
    <t xml:space="preserve">           Tindif iehor</t>
  </si>
  <si>
    <t>3060</t>
  </si>
  <si>
    <t xml:space="preserve">           Spejjez kuntrattwali ohra</t>
  </si>
  <si>
    <t xml:space="preserve">           Id-dwal fit-toroq</t>
  </si>
  <si>
    <t>3065</t>
  </si>
  <si>
    <t xml:space="preserve">  Spejjez Profesjonali</t>
  </si>
  <si>
    <t>Loan repayments</t>
  </si>
  <si>
    <t xml:space="preserve">           Warden services</t>
  </si>
  <si>
    <t xml:space="preserve">           Tindif ta' toroq mhux urbani</t>
  </si>
  <si>
    <t>3040</t>
  </si>
  <si>
    <t xml:space="preserve">           Tipping fees</t>
  </si>
  <si>
    <t xml:space="preserve">           Tindif u manutenzjoni - bajjiet</t>
  </si>
  <si>
    <t xml:space="preserve">  EU Project funding</t>
  </si>
  <si>
    <t>Joseph Azzopardi</t>
  </si>
  <si>
    <t>Agent Segretarju Ezekuttiv</t>
  </si>
  <si>
    <t>Edward Said</t>
  </si>
  <si>
    <t>April - Gunju 2015</t>
  </si>
  <si>
    <t xml:space="preserve">  Transport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</si>
</sst>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0.00_);\(###,##0.00\)"/>
    <numFmt numFmtId="179" formatCode="0.0"/>
  </numFmts>
  <fonts count="4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Har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8" fontId="7" fillId="0" borderId="10" xfId="0" applyNumberFormat="1" applyFont="1" applyFill="1" applyBorder="1" applyAlignment="1" applyProtection="1">
      <alignment/>
      <protection locked="0"/>
    </xf>
    <xf numFmtId="178" fontId="7" fillId="0" borderId="11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7" fillId="0" borderId="0" xfId="0" applyNumberFormat="1" applyFont="1" applyFill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/>
      <protection/>
    </xf>
    <xf numFmtId="178" fontId="7" fillId="0" borderId="10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6" fillId="0" borderId="13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8" fontId="6" fillId="0" borderId="14" xfId="0" applyNumberFormat="1" applyFont="1" applyFill="1" applyBorder="1" applyAlignment="1" applyProtection="1">
      <alignment horizontal="center"/>
      <protection/>
    </xf>
    <xf numFmtId="178" fontId="6" fillId="0" borderId="15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 quotePrefix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8" fontId="7" fillId="0" borderId="11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 horizontal="center"/>
      <protection/>
    </xf>
    <xf numFmtId="178" fontId="6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8" fontId="6" fillId="0" borderId="0" xfId="0" applyNumberFormat="1" applyFont="1" applyFill="1" applyAlignment="1" applyProtection="1">
      <alignment horizontal="left"/>
      <protection/>
    </xf>
    <xf numFmtId="178" fontId="7" fillId="0" borderId="1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Border="1" applyAlignment="1" applyProtection="1" quotePrefix="1">
      <alignment/>
      <protection/>
    </xf>
    <xf numFmtId="178" fontId="7" fillId="0" borderId="17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 locked="0"/>
    </xf>
    <xf numFmtId="178" fontId="7" fillId="0" borderId="1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78" fontId="6" fillId="0" borderId="21" xfId="0" applyNumberFormat="1" applyFont="1" applyFill="1" applyBorder="1" applyAlignment="1" applyProtection="1">
      <alignment horizontal="center"/>
      <protection/>
    </xf>
    <xf numFmtId="178" fontId="6" fillId="0" borderId="2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 horizontal="center"/>
      <protection/>
    </xf>
    <xf numFmtId="178" fontId="6" fillId="0" borderId="24" xfId="0" applyNumberFormat="1" applyFont="1" applyFill="1" applyBorder="1" applyAlignment="1" applyProtection="1">
      <alignment horizontal="center"/>
      <protection/>
    </xf>
    <xf numFmtId="178" fontId="7" fillId="0" borderId="25" xfId="0" applyNumberFormat="1" applyFont="1" applyFill="1" applyBorder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6" fillId="0" borderId="29" xfId="0" applyNumberFormat="1" applyFont="1" applyFill="1" applyBorder="1" applyAlignment="1" applyProtection="1">
      <alignment horizontal="centerContinuous"/>
      <protection/>
    </xf>
    <xf numFmtId="178" fontId="6" fillId="0" borderId="30" xfId="0" applyNumberFormat="1" applyFont="1" applyFill="1" applyBorder="1" applyAlignment="1" applyProtection="1">
      <alignment horizontal="centerContinuous"/>
      <protection/>
    </xf>
    <xf numFmtId="178" fontId="6" fillId="0" borderId="31" xfId="0" applyNumberFormat="1" applyFont="1" applyFill="1" applyBorder="1" applyAlignment="1" applyProtection="1">
      <alignment horizontal="centerContinuous"/>
      <protection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178" fontId="6" fillId="0" borderId="27" xfId="0" applyNumberFormat="1" applyFont="1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25" xfId="0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178" fontId="7" fillId="0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32" xfId="0" applyNumberFormat="1" applyFont="1" applyFill="1" applyBorder="1" applyAlignment="1" applyProtection="1">
      <alignment/>
      <protection/>
    </xf>
    <xf numFmtId="40" fontId="7" fillId="0" borderId="16" xfId="42" applyFont="1" applyFill="1" applyBorder="1" applyAlignment="1" applyProtection="1">
      <alignment/>
      <protection/>
    </xf>
    <xf numFmtId="9" fontId="7" fillId="0" borderId="0" xfId="59" applyFont="1" applyFill="1" applyAlignment="1" applyProtection="1">
      <alignment/>
      <protection/>
    </xf>
    <xf numFmtId="40" fontId="7" fillId="0" borderId="16" xfId="0" applyNumberFormat="1" applyFont="1" applyFill="1" applyBorder="1" applyAlignment="1" applyProtection="1">
      <alignment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3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1" xfId="0" applyNumberFormat="1" applyFont="1" applyBorder="1" applyAlignment="1" applyProtection="1">
      <alignment/>
      <protection locked="0"/>
    </xf>
    <xf numFmtId="178" fontId="7" fillId="0" borderId="22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7" fillId="0" borderId="34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 locked="0"/>
    </xf>
    <xf numFmtId="178" fontId="7" fillId="0" borderId="32" xfId="0" applyNumberFormat="1" applyFont="1" applyFill="1" applyBorder="1" applyAlignment="1" applyProtection="1">
      <alignment/>
      <protection locked="0"/>
    </xf>
    <xf numFmtId="178" fontId="6" fillId="0" borderId="35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/>
    </xf>
    <xf numFmtId="40" fontId="7" fillId="0" borderId="0" xfId="42" applyFont="1" applyFill="1" applyAlignment="1" applyProtection="1">
      <alignment/>
      <protection/>
    </xf>
    <xf numFmtId="38" fontId="7" fillId="0" borderId="0" xfId="42" applyNumberFormat="1" applyFont="1" applyFill="1" applyAlignment="1" applyProtection="1">
      <alignment/>
      <protection/>
    </xf>
    <xf numFmtId="178" fontId="12" fillId="0" borderId="23" xfId="0" applyNumberFormat="1" applyFont="1" applyFill="1" applyBorder="1" applyAlignment="1" applyProtection="1">
      <alignment/>
      <protection locked="0"/>
    </xf>
    <xf numFmtId="38" fontId="7" fillId="0" borderId="0" xfId="42" applyNumberFormat="1" applyFont="1" applyFill="1" applyAlignment="1" applyProtection="1" quotePrefix="1">
      <alignment horizontal="right"/>
      <protection/>
    </xf>
    <xf numFmtId="178" fontId="12" fillId="0" borderId="21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/>
    </xf>
    <xf numFmtId="14" fontId="0" fillId="0" borderId="14" xfId="0" applyNumberFormat="1" applyFill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9" fontId="47" fillId="0" borderId="0" xfId="59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1" fontId="6" fillId="0" borderId="31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showGridLines="0" showZeros="0" tabSelected="1" workbookViewId="0" topLeftCell="A1">
      <selection activeCell="H15" sqref="H15"/>
    </sheetView>
  </sheetViews>
  <sheetFormatPr defaultColWidth="9.140625" defaultRowHeight="12.75"/>
  <cols>
    <col min="1" max="1" width="7.421875" style="3" customWidth="1"/>
    <col min="2" max="2" width="31.28125" style="3" customWidth="1"/>
    <col min="3" max="3" width="9.421875" style="3" customWidth="1"/>
    <col min="4" max="4" width="11.00390625" style="3" customWidth="1"/>
    <col min="5" max="7" width="9.421875" style="3" customWidth="1"/>
    <col min="8" max="8" width="11.00390625" style="3" customWidth="1"/>
    <col min="9" max="9" width="9.421875" style="3" customWidth="1"/>
    <col min="10" max="10" width="10.421875" style="3" customWidth="1"/>
    <col min="11" max="11" width="10.7109375" style="3" bestFit="1" customWidth="1"/>
    <col min="12" max="12" width="12.00390625" style="3" bestFit="1" customWidth="1"/>
    <col min="13" max="13" width="29.28125" style="3" customWidth="1"/>
    <col min="14" max="14" width="0.85546875" style="3" customWidth="1"/>
    <col min="15" max="17" width="9.140625" style="3" customWidth="1"/>
    <col min="18" max="18" width="0.85546875" style="3" customWidth="1"/>
    <col min="19" max="16384" width="9.140625" style="3" customWidth="1"/>
  </cols>
  <sheetData>
    <row r="1" spans="1:2" ht="12.75">
      <c r="A1" s="3" t="s">
        <v>97</v>
      </c>
      <c r="B1" s="104">
        <v>2015</v>
      </c>
    </row>
    <row r="2" spans="1:5" ht="12.75">
      <c r="A2" s="3" t="s">
        <v>181</v>
      </c>
      <c r="B2" s="109" t="s">
        <v>212</v>
      </c>
      <c r="C2" s="105"/>
      <c r="D2" s="105"/>
      <c r="E2" s="105"/>
    </row>
    <row r="4" spans="1:10" ht="12.75">
      <c r="A4" s="4" t="s">
        <v>98</v>
      </c>
      <c r="C4" s="5"/>
      <c r="D4" s="5"/>
      <c r="E4" s="5"/>
      <c r="F4" s="5"/>
      <c r="G4" s="5"/>
      <c r="H4" s="5"/>
      <c r="I4" s="5"/>
      <c r="J4" s="5"/>
    </row>
    <row r="5" spans="1:10" ht="12.75">
      <c r="A5" s="4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21" ht="12.75">
      <c r="A6" s="7"/>
      <c r="B6" s="7"/>
      <c r="C6" s="115" t="str">
        <f>B2</f>
        <v>April - Gunju 2015</v>
      </c>
      <c r="D6" s="116"/>
      <c r="E6" s="116"/>
      <c r="F6" s="117"/>
      <c r="G6" s="66" t="str">
        <f>IF($B$1&lt;&gt;"","SENA S-ISSA "&amp;$B$1,"SENA S-ISSA (SENA)")</f>
        <v>SENA S-ISSA 2015</v>
      </c>
      <c r="H6" s="64"/>
      <c r="I6" s="64"/>
      <c r="J6" s="67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71" t="s">
        <v>99</v>
      </c>
      <c r="B7" s="9" t="s">
        <v>100</v>
      </c>
      <c r="C7" s="45" t="s">
        <v>103</v>
      </c>
      <c r="D7" s="10" t="s">
        <v>182</v>
      </c>
      <c r="E7" s="11" t="s">
        <v>8</v>
      </c>
      <c r="F7" s="52" t="s">
        <v>77</v>
      </c>
      <c r="G7" s="10" t="s">
        <v>76</v>
      </c>
      <c r="H7" s="10" t="s">
        <v>182</v>
      </c>
      <c r="I7" s="11" t="s">
        <v>8</v>
      </c>
      <c r="J7" s="7" t="s">
        <v>77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12"/>
      <c r="B8" s="12"/>
      <c r="C8" s="46" t="s">
        <v>188</v>
      </c>
      <c r="D8" s="13" t="s">
        <v>188</v>
      </c>
      <c r="E8" s="14" t="s">
        <v>188</v>
      </c>
      <c r="F8" s="53" t="s">
        <v>188</v>
      </c>
      <c r="G8" s="13" t="s">
        <v>188</v>
      </c>
      <c r="H8" s="13" t="s">
        <v>188</v>
      </c>
      <c r="I8" s="14" t="s">
        <v>188</v>
      </c>
      <c r="J8" s="12" t="s">
        <v>188</v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6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16" t="s">
        <v>9</v>
      </c>
      <c r="B10" s="17" t="s">
        <v>133</v>
      </c>
      <c r="C10" s="15"/>
      <c r="D10" s="15"/>
      <c r="E10" s="15"/>
      <c r="F10" s="15"/>
      <c r="G10" s="15"/>
      <c r="H10" s="15"/>
      <c r="I10" s="15"/>
      <c r="J10" s="1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6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72" t="s">
        <v>72</v>
      </c>
      <c r="B12" s="73" t="s">
        <v>124</v>
      </c>
      <c r="C12" s="19"/>
      <c r="D12" s="19"/>
      <c r="E12" s="88"/>
      <c r="F12" s="57"/>
      <c r="G12" s="54"/>
      <c r="H12" s="19"/>
      <c r="I12" s="19"/>
      <c r="J12" s="19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74" t="s">
        <v>10</v>
      </c>
      <c r="B13" s="75" t="s">
        <v>125</v>
      </c>
      <c r="C13" s="8">
        <f>210372.33-105161</f>
        <v>105211.32999999999</v>
      </c>
      <c r="D13" s="8"/>
      <c r="E13" s="87">
        <f>SUM(C13:D13)</f>
        <v>105211.32999999999</v>
      </c>
      <c r="F13" s="99">
        <f>420845/4</f>
        <v>105211.25</v>
      </c>
      <c r="G13" s="24">
        <v>210372.33</v>
      </c>
      <c r="H13" s="8"/>
      <c r="I13" s="8">
        <f>SUM(G13:H13)</f>
        <v>210372.33</v>
      </c>
      <c r="J13" s="8">
        <f>105211.25*2</f>
        <v>210422.5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74" t="s">
        <v>126</v>
      </c>
      <c r="B14" s="75" t="s">
        <v>127</v>
      </c>
      <c r="C14" s="8">
        <f>14563.58-0</f>
        <v>14563.58</v>
      </c>
      <c r="D14" s="8"/>
      <c r="E14" s="87">
        <f>SUM(C14:D14)</f>
        <v>14563.58</v>
      </c>
      <c r="F14" s="58">
        <v>2000</v>
      </c>
      <c r="G14" s="24">
        <v>14563.58</v>
      </c>
      <c r="H14" s="8"/>
      <c r="I14" s="8">
        <f>SUM(G14:H14)</f>
        <v>14563.58</v>
      </c>
      <c r="J14" s="8">
        <f>2000*2</f>
        <v>4000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74" t="s">
        <v>128</v>
      </c>
      <c r="B15" s="75" t="s">
        <v>131</v>
      </c>
      <c r="C15" s="8"/>
      <c r="D15" s="8"/>
      <c r="E15" s="87">
        <f>SUM(C15:D15)</f>
        <v>0</v>
      </c>
      <c r="F15" s="58"/>
      <c r="G15" s="24"/>
      <c r="H15" s="8"/>
      <c r="I15" s="8">
        <f>SUM(G15:H15)</f>
        <v>0</v>
      </c>
      <c r="J15" s="8">
        <v>1250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74" t="s">
        <v>129</v>
      </c>
      <c r="B16" s="75" t="s">
        <v>132</v>
      </c>
      <c r="C16" s="8">
        <v>0</v>
      </c>
      <c r="D16" s="8"/>
      <c r="E16" s="87">
        <f>SUM(C16:D16)</f>
        <v>0</v>
      </c>
      <c r="F16" s="58"/>
      <c r="G16" s="24">
        <v>0</v>
      </c>
      <c r="H16" s="8"/>
      <c r="I16" s="8">
        <f>SUM(G16:H16)</f>
        <v>0</v>
      </c>
      <c r="J16" s="8">
        <v>5750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74" t="s">
        <v>130</v>
      </c>
      <c r="B17" s="75" t="s">
        <v>187</v>
      </c>
      <c r="C17" s="8">
        <f>5036-5036</f>
        <v>0</v>
      </c>
      <c r="D17" s="8"/>
      <c r="E17" s="87">
        <f>SUM(C17:D17)</f>
        <v>0</v>
      </c>
      <c r="F17" s="58">
        <v>0</v>
      </c>
      <c r="G17" s="24">
        <v>5036</v>
      </c>
      <c r="H17" s="8"/>
      <c r="I17" s="8">
        <f>SUM(G17:H17)</f>
        <v>5036</v>
      </c>
      <c r="J17" s="8">
        <v>25000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18"/>
      <c r="B18" s="15"/>
      <c r="C18" s="21"/>
      <c r="D18" s="21"/>
      <c r="E18" s="90"/>
      <c r="F18" s="60"/>
      <c r="G18" s="76"/>
      <c r="H18" s="21"/>
      <c r="I18" s="21"/>
      <c r="J18" s="21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15"/>
      <c r="B19" s="15"/>
      <c r="C19" s="22">
        <f>SUM(C13:C18)</f>
        <v>119774.90999999999</v>
      </c>
      <c r="D19" s="22">
        <f>SUM(D12:D13)</f>
        <v>0</v>
      </c>
      <c r="E19" s="22">
        <f>SUM(E13:E18)</f>
        <v>119774.90999999999</v>
      </c>
      <c r="F19" s="59">
        <f>SUM(F13:F18)</f>
        <v>107211.25</v>
      </c>
      <c r="G19" s="55">
        <f>SUM(G12:G18)</f>
        <v>229971.90999999997</v>
      </c>
      <c r="H19" s="22">
        <f>SUM(H12:H13)</f>
        <v>0</v>
      </c>
      <c r="I19" s="22">
        <f>SUM(I13:I18)</f>
        <v>229971.90999999997</v>
      </c>
      <c r="J19" s="22">
        <f>SUM(J13:J18)</f>
        <v>246422.5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72" t="s">
        <v>11</v>
      </c>
      <c r="B20" s="73" t="s">
        <v>134</v>
      </c>
      <c r="C20" s="8"/>
      <c r="D20" s="8"/>
      <c r="E20" s="8"/>
      <c r="F20" s="58"/>
      <c r="G20" s="24"/>
      <c r="H20" s="8"/>
      <c r="I20" s="8"/>
      <c r="J20" s="8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74" t="s">
        <v>12</v>
      </c>
      <c r="B21" s="75" t="s">
        <v>135</v>
      </c>
      <c r="C21" s="1">
        <f>1223+6095.54-3678.6</f>
        <v>3639.94</v>
      </c>
      <c r="D21" s="1"/>
      <c r="E21" s="1">
        <f>SUM(C21:D21)</f>
        <v>3639.94</v>
      </c>
      <c r="F21" s="58">
        <f>5000/2</f>
        <v>2500</v>
      </c>
      <c r="G21" s="56">
        <f>1223+6095.54</f>
        <v>7318.54</v>
      </c>
      <c r="H21" s="1"/>
      <c r="I21" s="1">
        <f>SUM(G21:H21)</f>
        <v>7318.54</v>
      </c>
      <c r="J21" s="8">
        <f>5000+2500</f>
        <v>7500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110" t="s">
        <v>11</v>
      </c>
      <c r="B22" s="111" t="s">
        <v>208</v>
      </c>
      <c r="C22" s="1">
        <f>34210.92-0</f>
        <v>34210.92</v>
      </c>
      <c r="D22" s="1"/>
      <c r="E22" s="1">
        <f>SUM(C22:D22)</f>
        <v>34210.92</v>
      </c>
      <c r="F22" s="58"/>
      <c r="G22" s="56">
        <v>34210.92</v>
      </c>
      <c r="H22" s="1"/>
      <c r="I22" s="1">
        <f>SUM(G22:H22)</f>
        <v>34210.92</v>
      </c>
      <c r="J22" s="8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74" t="s">
        <v>13</v>
      </c>
      <c r="B23" s="75" t="s">
        <v>143</v>
      </c>
      <c r="C23" s="1">
        <f>4852.69+2.4+1115.15-547.76-253.79</f>
        <v>5168.69</v>
      </c>
      <c r="D23" s="1"/>
      <c r="E23" s="1">
        <f>SUM(C23:D23)</f>
        <v>5168.69</v>
      </c>
      <c r="F23" s="58">
        <v>2000</v>
      </c>
      <c r="G23" s="24">
        <f>4852.69+2.4+1115.15</f>
        <v>5970.24</v>
      </c>
      <c r="H23" s="1"/>
      <c r="I23" s="1">
        <f>SUM(G23:H23)</f>
        <v>5970.24</v>
      </c>
      <c r="J23" s="8">
        <f>4500+2000</f>
        <v>6500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74" t="s">
        <v>14</v>
      </c>
      <c r="B24" s="75" t="s">
        <v>136</v>
      </c>
      <c r="C24" s="1">
        <f>2650-2500</f>
        <v>150</v>
      </c>
      <c r="D24" s="1"/>
      <c r="E24" s="1">
        <f>SUM(C24:D24)</f>
        <v>150</v>
      </c>
      <c r="F24" s="58">
        <f>2000/2</f>
        <v>1000</v>
      </c>
      <c r="G24" s="24">
        <v>2650</v>
      </c>
      <c r="H24" s="1"/>
      <c r="I24" s="1">
        <f>SUM(G24:H24)</f>
        <v>2650</v>
      </c>
      <c r="J24" s="8">
        <f>2000+1000</f>
        <v>3000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74" t="s">
        <v>15</v>
      </c>
      <c r="B25" s="75" t="s">
        <v>137</v>
      </c>
      <c r="C25" s="2">
        <f>379.68+184.88-308.24</f>
        <v>256.31999999999994</v>
      </c>
      <c r="D25" s="2"/>
      <c r="E25" s="2">
        <f>SUM(C25:D25)</f>
        <v>256.31999999999994</v>
      </c>
      <c r="F25" s="60">
        <v>400</v>
      </c>
      <c r="G25" s="80">
        <f>379.68+184.88</f>
        <v>564.56</v>
      </c>
      <c r="H25" s="2"/>
      <c r="I25" s="2">
        <f>SUM(G25:H25)</f>
        <v>564.56</v>
      </c>
      <c r="J25" s="8">
        <f>500+400</f>
        <v>900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/>
      <c r="B26" s="47"/>
      <c r="C26" s="22">
        <f aca="true" t="shared" si="0" ref="C26:I26">SUM(C21:C25)</f>
        <v>43425.87</v>
      </c>
      <c r="D26" s="22">
        <f t="shared" si="0"/>
        <v>0</v>
      </c>
      <c r="E26" s="22">
        <f t="shared" si="0"/>
        <v>43425.87</v>
      </c>
      <c r="F26" s="84">
        <f>SUM(F21:F25)</f>
        <v>5900</v>
      </c>
      <c r="G26" s="38">
        <f t="shared" si="0"/>
        <v>50714.259999999995</v>
      </c>
      <c r="H26" s="22">
        <f t="shared" si="0"/>
        <v>0</v>
      </c>
      <c r="I26" s="22">
        <f t="shared" si="0"/>
        <v>50714.259999999995</v>
      </c>
      <c r="J26" s="26">
        <f>SUM(J21:J25)</f>
        <v>17900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72" t="s">
        <v>16</v>
      </c>
      <c r="B27" s="73" t="s">
        <v>138</v>
      </c>
      <c r="C27" s="8"/>
      <c r="D27" s="8"/>
      <c r="E27" s="8"/>
      <c r="F27" s="8"/>
      <c r="G27" s="39"/>
      <c r="H27" s="8"/>
      <c r="I27" s="8"/>
      <c r="J27" s="8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74" t="s">
        <v>17</v>
      </c>
      <c r="B28" s="75" t="s">
        <v>140</v>
      </c>
      <c r="C28" s="1">
        <f>0.88-0.88</f>
        <v>0</v>
      </c>
      <c r="D28" s="1"/>
      <c r="E28" s="1">
        <f>SUM(C28:D28)</f>
        <v>0</v>
      </c>
      <c r="F28" s="8">
        <v>0</v>
      </c>
      <c r="G28" s="36">
        <v>0.88</v>
      </c>
      <c r="H28" s="1"/>
      <c r="I28" s="1">
        <f>SUM(G28:H28)</f>
        <v>0.88</v>
      </c>
      <c r="J28" s="8">
        <v>125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10" ht="12.75">
      <c r="A29" s="74" t="s">
        <v>18</v>
      </c>
      <c r="B29" s="75" t="s">
        <v>139</v>
      </c>
      <c r="C29" s="1"/>
      <c r="D29" s="2"/>
      <c r="E29" s="2">
        <f>SUM(C29:D29)</f>
        <v>0</v>
      </c>
      <c r="F29" s="21"/>
      <c r="G29" s="36"/>
      <c r="H29" s="1"/>
      <c r="I29" s="2">
        <f>SUM(G29:H29)</f>
        <v>0</v>
      </c>
      <c r="J29" s="8">
        <f>F29*$M$13</f>
        <v>0</v>
      </c>
    </row>
    <row r="30" spans="1:11" s="27" customFormat="1" ht="12.75">
      <c r="A30" s="24"/>
      <c r="B30" s="25"/>
      <c r="C30" s="26">
        <f aca="true" t="shared" si="1" ref="C30:I30">SUM(C28:C29)</f>
        <v>0</v>
      </c>
      <c r="D30" s="26">
        <f t="shared" si="1"/>
        <v>0</v>
      </c>
      <c r="E30" s="26">
        <f t="shared" si="1"/>
        <v>0</v>
      </c>
      <c r="F30" s="26">
        <f>SUM(F28:F29)</f>
        <v>0</v>
      </c>
      <c r="G30" s="40">
        <f t="shared" si="1"/>
        <v>0.88</v>
      </c>
      <c r="H30" s="26">
        <f t="shared" si="1"/>
        <v>0</v>
      </c>
      <c r="I30" s="26">
        <f t="shared" si="1"/>
        <v>0.88</v>
      </c>
      <c r="J30" s="26">
        <f>SUM(J28:J29)</f>
        <v>125</v>
      </c>
      <c r="K30" s="3"/>
    </row>
    <row r="31" spans="1:10" ht="12.75">
      <c r="A31" s="77" t="s">
        <v>19</v>
      </c>
      <c r="B31" s="78" t="s">
        <v>79</v>
      </c>
      <c r="C31" s="8"/>
      <c r="D31" s="8"/>
      <c r="E31" s="8"/>
      <c r="F31" s="8"/>
      <c r="G31" s="39"/>
      <c r="H31" s="8"/>
      <c r="I31" s="8"/>
      <c r="J31" s="8"/>
    </row>
    <row r="32" spans="1:10" ht="12.75">
      <c r="A32" s="23" t="s">
        <v>20</v>
      </c>
      <c r="B32" s="20" t="s">
        <v>141</v>
      </c>
      <c r="C32" s="1">
        <v>0</v>
      </c>
      <c r="D32" s="1"/>
      <c r="E32" s="1">
        <f>SUM(C32:D32)</f>
        <v>0</v>
      </c>
      <c r="F32" s="8"/>
      <c r="G32" s="36">
        <v>100</v>
      </c>
      <c r="H32" s="1"/>
      <c r="I32" s="1">
        <f>SUM(G32:H32)</f>
        <v>100</v>
      </c>
      <c r="J32" s="8">
        <f>F32*$M$13</f>
        <v>0</v>
      </c>
    </row>
    <row r="33" spans="1:10" ht="12.75">
      <c r="A33" s="23" t="s">
        <v>21</v>
      </c>
      <c r="B33" s="20" t="s">
        <v>142</v>
      </c>
      <c r="C33" s="2"/>
      <c r="D33" s="2"/>
      <c r="E33" s="2">
        <f>SUM(C33:D33)</f>
        <v>0</v>
      </c>
      <c r="F33" s="21"/>
      <c r="G33" s="37"/>
      <c r="H33" s="2"/>
      <c r="I33" s="2">
        <f>SUM(G33:H33)</f>
        <v>0</v>
      </c>
      <c r="J33" s="8">
        <f>F33*$M$13</f>
        <v>0</v>
      </c>
    </row>
    <row r="34" spans="1:10" ht="12.75">
      <c r="A34" s="23"/>
      <c r="B34" s="20"/>
      <c r="C34" s="21">
        <f aca="true" t="shared" si="2" ref="C34:J34">SUM(C32:C33)</f>
        <v>0</v>
      </c>
      <c r="D34" s="21">
        <f t="shared" si="2"/>
        <v>0</v>
      </c>
      <c r="E34" s="21">
        <f t="shared" si="2"/>
        <v>0</v>
      </c>
      <c r="F34" s="21">
        <f t="shared" si="2"/>
        <v>0</v>
      </c>
      <c r="G34" s="41">
        <f t="shared" si="2"/>
        <v>100</v>
      </c>
      <c r="H34" s="21">
        <f t="shared" si="2"/>
        <v>0</v>
      </c>
      <c r="I34" s="21">
        <f t="shared" si="2"/>
        <v>100</v>
      </c>
      <c r="J34" s="85">
        <f t="shared" si="2"/>
        <v>0</v>
      </c>
    </row>
    <row r="35" spans="1:11" s="27" customFormat="1" ht="12.75">
      <c r="A35" s="28"/>
      <c r="B35" s="25"/>
      <c r="C35" s="24"/>
      <c r="D35" s="24"/>
      <c r="E35" s="24"/>
      <c r="F35" s="24"/>
      <c r="G35" s="24"/>
      <c r="H35" s="24"/>
      <c r="I35" s="24"/>
      <c r="J35" s="86">
        <f>SUM(J32:J34)</f>
        <v>0</v>
      </c>
      <c r="K35" s="3"/>
    </row>
    <row r="36" spans="1:10" ht="12.75">
      <c r="A36" s="15"/>
      <c r="B36" s="29" t="s">
        <v>8</v>
      </c>
      <c r="C36" s="30">
        <f aca="true" t="shared" si="3" ref="C36:J36">SUM(C30,C26,C19,C34)</f>
        <v>163200.78</v>
      </c>
      <c r="D36" s="30">
        <f t="shared" si="3"/>
        <v>0</v>
      </c>
      <c r="E36" s="30">
        <f t="shared" si="3"/>
        <v>163200.78</v>
      </c>
      <c r="F36" s="62">
        <f t="shared" si="3"/>
        <v>113111.25</v>
      </c>
      <c r="G36" s="61">
        <f t="shared" si="3"/>
        <v>280787.05</v>
      </c>
      <c r="H36" s="30">
        <f t="shared" si="3"/>
        <v>0</v>
      </c>
      <c r="I36" s="30">
        <f t="shared" si="3"/>
        <v>280787.05</v>
      </c>
      <c r="J36" s="30">
        <f t="shared" si="3"/>
        <v>264447.5</v>
      </c>
    </row>
    <row r="37" spans="1:10" ht="12.75">
      <c r="A37" s="15"/>
      <c r="B37" s="6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" t="s">
        <v>101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31"/>
      <c r="B39" s="5"/>
      <c r="C39" s="6" t="s">
        <v>0</v>
      </c>
      <c r="D39" s="6" t="s">
        <v>1</v>
      </c>
      <c r="E39" s="6" t="s">
        <v>2</v>
      </c>
      <c r="F39" s="6" t="s">
        <v>3</v>
      </c>
      <c r="G39" s="6" t="s">
        <v>4</v>
      </c>
      <c r="H39" s="6" t="s">
        <v>5</v>
      </c>
      <c r="I39" s="6" t="s">
        <v>6</v>
      </c>
      <c r="J39" s="6" t="s">
        <v>7</v>
      </c>
    </row>
    <row r="40" spans="1:10" ht="12.75">
      <c r="A40" s="7"/>
      <c r="B40" s="7"/>
      <c r="C40" s="63" t="str">
        <f>C6</f>
        <v>April - Gunju 2015</v>
      </c>
      <c r="D40" s="64"/>
      <c r="E40" s="64"/>
      <c r="F40" s="65"/>
      <c r="G40" s="66" t="str">
        <f>IF($B$1&lt;&gt;"","SENA S-ISSA "&amp;$B$1,"SENA S-ISSA (SENA)")</f>
        <v>SENA S-ISSA 2015</v>
      </c>
      <c r="H40" s="64"/>
      <c r="I40" s="64"/>
      <c r="J40" s="67"/>
    </row>
    <row r="41" spans="1:10" ht="18.75">
      <c r="A41" s="71" t="s">
        <v>102</v>
      </c>
      <c r="B41" s="9" t="s">
        <v>100</v>
      </c>
      <c r="C41" s="45" t="s">
        <v>103</v>
      </c>
      <c r="D41" s="10" t="s">
        <v>182</v>
      </c>
      <c r="E41" s="11" t="s">
        <v>8</v>
      </c>
      <c r="F41" s="52" t="s">
        <v>77</v>
      </c>
      <c r="G41" s="10" t="s">
        <v>76</v>
      </c>
      <c r="H41" s="10" t="s">
        <v>182</v>
      </c>
      <c r="I41" s="11" t="s">
        <v>8</v>
      </c>
      <c r="J41" s="7" t="s">
        <v>77</v>
      </c>
    </row>
    <row r="42" spans="1:10" ht="12.75">
      <c r="A42" s="12"/>
      <c r="B42" s="12"/>
      <c r="C42" s="46" t="s">
        <v>188</v>
      </c>
      <c r="D42" s="13" t="s">
        <v>188</v>
      </c>
      <c r="E42" s="14" t="s">
        <v>188</v>
      </c>
      <c r="F42" s="53" t="s">
        <v>188</v>
      </c>
      <c r="G42" s="13" t="s">
        <v>188</v>
      </c>
      <c r="H42" s="13" t="s">
        <v>188</v>
      </c>
      <c r="I42" s="14" t="s">
        <v>188</v>
      </c>
      <c r="J42" s="12" t="s">
        <v>188</v>
      </c>
    </row>
    <row r="43" spans="1:10" ht="12.75">
      <c r="A43" s="16" t="s">
        <v>22</v>
      </c>
      <c r="B43" s="17" t="s">
        <v>175</v>
      </c>
      <c r="C43" s="15"/>
      <c r="D43" s="15"/>
      <c r="E43" s="15"/>
      <c r="F43" s="15"/>
      <c r="G43" s="15"/>
      <c r="H43" s="15"/>
      <c r="I43" s="15"/>
      <c r="J43" s="15"/>
    </row>
    <row r="44" spans="1:10" ht="6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6" t="s">
        <v>23</v>
      </c>
      <c r="B45" s="73" t="s">
        <v>144</v>
      </c>
      <c r="C45" s="19"/>
      <c r="D45" s="19"/>
      <c r="E45" s="19"/>
      <c r="F45" s="88"/>
      <c r="G45" s="92"/>
      <c r="H45" s="19"/>
      <c r="I45" s="19"/>
      <c r="J45" s="19"/>
    </row>
    <row r="46" spans="1:10" ht="12.75">
      <c r="A46" s="18" t="s">
        <v>24</v>
      </c>
      <c r="B46" s="75" t="s">
        <v>145</v>
      </c>
      <c r="C46" s="1">
        <f>2937.12-1615.24</f>
        <v>1321.8799999999999</v>
      </c>
      <c r="D46" s="1"/>
      <c r="E46" s="1">
        <f aca="true" t="shared" si="4" ref="E46:E53">SUM(C46:D46)</f>
        <v>1321.8799999999999</v>
      </c>
      <c r="F46" s="89">
        <f>8232/4*1.1</f>
        <v>2263.8</v>
      </c>
      <c r="G46" s="93">
        <v>2937.12</v>
      </c>
      <c r="H46" s="1"/>
      <c r="I46" s="1">
        <f aca="true" t="shared" si="5" ref="I46:I53">SUM(G46:H46)</f>
        <v>2937.12</v>
      </c>
      <c r="J46" s="8">
        <f>3325+2263.8</f>
        <v>5588.8</v>
      </c>
    </row>
    <row r="47" spans="1:10" ht="12.75">
      <c r="A47" s="18" t="s">
        <v>189</v>
      </c>
      <c r="B47" s="75" t="s">
        <v>190</v>
      </c>
      <c r="C47" s="1"/>
      <c r="D47" s="1"/>
      <c r="E47" s="1">
        <f t="shared" si="4"/>
        <v>0</v>
      </c>
      <c r="F47" s="89">
        <v>0</v>
      </c>
      <c r="G47" s="93"/>
      <c r="H47" s="1"/>
      <c r="I47" s="1">
        <f t="shared" si="5"/>
        <v>0</v>
      </c>
      <c r="J47" s="8">
        <v>0</v>
      </c>
    </row>
    <row r="48" spans="1:10" ht="12.75">
      <c r="A48" s="18" t="s">
        <v>25</v>
      </c>
      <c r="B48" s="75" t="s">
        <v>146</v>
      </c>
      <c r="C48" s="1">
        <f>12463.83+6453.96-11319.74</f>
        <v>7598.050000000001</v>
      </c>
      <c r="D48" s="1"/>
      <c r="E48" s="1">
        <f t="shared" si="4"/>
        <v>7598.050000000001</v>
      </c>
      <c r="F48" s="89">
        <f>(30537+27497)/4*1.1</f>
        <v>15959.350000000002</v>
      </c>
      <c r="G48" s="93">
        <f>12463.83+6453.96</f>
        <v>18917.79</v>
      </c>
      <c r="H48" s="1"/>
      <c r="I48" s="1">
        <f t="shared" si="5"/>
        <v>18917.79</v>
      </c>
      <c r="J48" s="8">
        <f>13125+15959.35</f>
        <v>29084.35</v>
      </c>
    </row>
    <row r="49" spans="1:10" ht="12.75">
      <c r="A49" s="18" t="s">
        <v>26</v>
      </c>
      <c r="B49" s="75" t="s">
        <v>147</v>
      </c>
      <c r="C49" s="1">
        <v>0</v>
      </c>
      <c r="D49" s="1"/>
      <c r="E49" s="1">
        <f t="shared" si="4"/>
        <v>0</v>
      </c>
      <c r="F49" s="89"/>
      <c r="G49" s="93">
        <v>0</v>
      </c>
      <c r="H49" s="1"/>
      <c r="I49" s="1">
        <f t="shared" si="5"/>
        <v>0</v>
      </c>
      <c r="J49" s="8">
        <v>775</v>
      </c>
    </row>
    <row r="50" spans="1:10" ht="12.75">
      <c r="A50" s="18" t="s">
        <v>27</v>
      </c>
      <c r="B50" s="75" t="s">
        <v>149</v>
      </c>
      <c r="C50" s="1"/>
      <c r="D50" s="1"/>
      <c r="E50" s="1">
        <f t="shared" si="4"/>
        <v>0</v>
      </c>
      <c r="F50" s="89"/>
      <c r="G50" s="93">
        <v>242.26</v>
      </c>
      <c r="H50" s="1"/>
      <c r="I50" s="1">
        <f t="shared" si="5"/>
        <v>242.26</v>
      </c>
      <c r="J50" s="8">
        <v>202.5</v>
      </c>
    </row>
    <row r="51" spans="1:10" ht="12.75">
      <c r="A51" s="18" t="s">
        <v>28</v>
      </c>
      <c r="B51" s="75" t="s">
        <v>150</v>
      </c>
      <c r="C51" s="1">
        <f>1181.67-450.16</f>
        <v>731.51</v>
      </c>
      <c r="D51" s="1"/>
      <c r="E51" s="1">
        <f t="shared" si="4"/>
        <v>731.51</v>
      </c>
      <c r="F51" s="89">
        <f>4952/4*1.1</f>
        <v>1361.8000000000002</v>
      </c>
      <c r="G51" s="93">
        <v>1181.67</v>
      </c>
      <c r="H51" s="1"/>
      <c r="I51" s="1">
        <f t="shared" si="5"/>
        <v>1181.67</v>
      </c>
      <c r="J51" s="8">
        <f>1215+1361.8</f>
        <v>2576.8</v>
      </c>
    </row>
    <row r="52" spans="1:10" ht="12.75">
      <c r="A52" s="18" t="s">
        <v>29</v>
      </c>
      <c r="B52" s="75" t="s">
        <v>151</v>
      </c>
      <c r="C52" s="1"/>
      <c r="D52" s="1"/>
      <c r="E52" s="1">
        <f t="shared" si="4"/>
        <v>0</v>
      </c>
      <c r="F52" s="89"/>
      <c r="G52" s="93"/>
      <c r="H52" s="1"/>
      <c r="I52" s="1">
        <f t="shared" si="5"/>
        <v>0</v>
      </c>
      <c r="J52" s="8">
        <v>182</v>
      </c>
    </row>
    <row r="53" spans="1:10" ht="12.75">
      <c r="A53" s="23" t="s">
        <v>30</v>
      </c>
      <c r="B53" s="75" t="s">
        <v>148</v>
      </c>
      <c r="C53" s="2"/>
      <c r="D53" s="2"/>
      <c r="E53" s="2">
        <f t="shared" si="4"/>
        <v>0</v>
      </c>
      <c r="F53" s="90"/>
      <c r="G53" s="94"/>
      <c r="H53" s="2"/>
      <c r="I53" s="2">
        <f t="shared" si="5"/>
        <v>0</v>
      </c>
      <c r="J53" s="8">
        <v>250</v>
      </c>
    </row>
    <row r="54" spans="1:10" ht="12.75">
      <c r="A54" s="20"/>
      <c r="B54" s="20"/>
      <c r="C54" s="22">
        <f aca="true" t="shared" si="6" ref="C54:J54">SUM(C46:C53)</f>
        <v>9651.44</v>
      </c>
      <c r="D54" s="22">
        <f t="shared" si="6"/>
        <v>0</v>
      </c>
      <c r="E54" s="22">
        <f t="shared" si="6"/>
        <v>9651.44</v>
      </c>
      <c r="F54" s="91">
        <f t="shared" si="6"/>
        <v>19584.95</v>
      </c>
      <c r="G54" s="95">
        <f t="shared" si="6"/>
        <v>23278.839999999997</v>
      </c>
      <c r="H54" s="22">
        <f t="shared" si="6"/>
        <v>0</v>
      </c>
      <c r="I54" s="22">
        <f t="shared" si="6"/>
        <v>23278.839999999997</v>
      </c>
      <c r="J54" s="26">
        <f t="shared" si="6"/>
        <v>38659.450000000004</v>
      </c>
    </row>
    <row r="55" spans="1:10" ht="12.75">
      <c r="A55" s="16" t="s">
        <v>31</v>
      </c>
      <c r="B55" s="79" t="s">
        <v>104</v>
      </c>
      <c r="C55" s="8"/>
      <c r="D55" s="8"/>
      <c r="E55" s="87"/>
      <c r="F55" s="87"/>
      <c r="G55" s="96"/>
      <c r="H55" s="8"/>
      <c r="I55" s="8"/>
      <c r="J55" s="8"/>
    </row>
    <row r="56" spans="1:10" ht="12.75">
      <c r="A56" s="18" t="s">
        <v>32</v>
      </c>
      <c r="B56" s="15" t="s">
        <v>153</v>
      </c>
      <c r="C56" s="1">
        <f>78+1289.81+183.51+417.1+689.61-1822.43</f>
        <v>835.6000000000001</v>
      </c>
      <c r="D56" s="1"/>
      <c r="E56" s="1">
        <f>SUM(C56:D56)</f>
        <v>835.6000000000001</v>
      </c>
      <c r="F56" s="101">
        <f>3750/2</f>
        <v>1875</v>
      </c>
      <c r="G56" s="93">
        <f>78+1289.81+183.51+417.1+689.61</f>
        <v>2658.03</v>
      </c>
      <c r="H56" s="1"/>
      <c r="I56" s="1">
        <f>SUM(G56:H56)</f>
        <v>2658.03</v>
      </c>
      <c r="J56" s="8">
        <f>3750+1875</f>
        <v>5625</v>
      </c>
    </row>
    <row r="57" spans="1:10" ht="12.75">
      <c r="A57" s="18" t="s">
        <v>33</v>
      </c>
      <c r="B57" s="15" t="s">
        <v>154</v>
      </c>
      <c r="C57" s="1">
        <f>1609.77+35.32+78.6-746.73</f>
        <v>976.9599999999998</v>
      </c>
      <c r="D57" s="1"/>
      <c r="E57" s="1">
        <f aca="true" t="shared" si="7" ref="E57:E97">SUM(C57:D57)</f>
        <v>976.9599999999998</v>
      </c>
      <c r="F57" s="101">
        <f>3000/2</f>
        <v>1500</v>
      </c>
      <c r="G57" s="93">
        <f>1609.77+35.32+78.6</f>
        <v>1723.6899999999998</v>
      </c>
      <c r="H57" s="1"/>
      <c r="I57" s="1">
        <f aca="true" t="shared" si="8" ref="I57:I95">SUM(G57:H57)</f>
        <v>1723.6899999999998</v>
      </c>
      <c r="J57" s="8">
        <f>3000+1500</f>
        <v>4500</v>
      </c>
    </row>
    <row r="58" spans="1:10" ht="12.75">
      <c r="A58" s="18" t="s">
        <v>152</v>
      </c>
      <c r="B58" s="15" t="s">
        <v>155</v>
      </c>
      <c r="C58" s="1"/>
      <c r="D58" s="1"/>
      <c r="E58" s="1">
        <f t="shared" si="7"/>
        <v>0</v>
      </c>
      <c r="F58" s="101">
        <v>10000</v>
      </c>
      <c r="G58" s="93"/>
      <c r="H58" s="1"/>
      <c r="I58" s="1">
        <f t="shared" si="8"/>
        <v>0</v>
      </c>
      <c r="J58" s="8">
        <f>10000*2</f>
        <v>20000</v>
      </c>
    </row>
    <row r="59" spans="1:10" ht="12.75">
      <c r="A59" s="18" t="s">
        <v>34</v>
      </c>
      <c r="B59" s="15" t="s">
        <v>105</v>
      </c>
      <c r="C59" s="1">
        <f>6018.03-4980.91</f>
        <v>1037.12</v>
      </c>
      <c r="D59" s="1"/>
      <c r="E59" s="1">
        <f t="shared" si="7"/>
        <v>1037.12</v>
      </c>
      <c r="F59" s="87"/>
      <c r="G59" s="93">
        <v>6018.03</v>
      </c>
      <c r="H59" s="1"/>
      <c r="I59" s="1">
        <f t="shared" si="8"/>
        <v>6018.03</v>
      </c>
      <c r="J59" s="8">
        <v>0</v>
      </c>
    </row>
    <row r="60" spans="1:10" ht="12.75">
      <c r="A60" s="18" t="s">
        <v>35</v>
      </c>
      <c r="B60" s="15" t="s">
        <v>106</v>
      </c>
      <c r="C60" s="1">
        <f>10662.59-4866.29</f>
        <v>5796.3</v>
      </c>
      <c r="D60" s="1"/>
      <c r="E60" s="1">
        <f t="shared" si="7"/>
        <v>5796.3</v>
      </c>
      <c r="F60" s="87"/>
      <c r="G60" s="93">
        <v>10662.59</v>
      </c>
      <c r="H60" s="1"/>
      <c r="I60" s="1">
        <f t="shared" si="8"/>
        <v>10662.59</v>
      </c>
      <c r="J60" s="8">
        <v>0</v>
      </c>
    </row>
    <row r="61" spans="1:10" ht="12.75">
      <c r="A61" s="18" t="s">
        <v>36</v>
      </c>
      <c r="B61" s="15" t="s">
        <v>107</v>
      </c>
      <c r="C61" s="1">
        <v>0</v>
      </c>
      <c r="D61" s="1"/>
      <c r="E61" s="1">
        <f t="shared" si="7"/>
        <v>0</v>
      </c>
      <c r="F61" s="87"/>
      <c r="G61" s="93">
        <v>0</v>
      </c>
      <c r="H61" s="1"/>
      <c r="I61" s="1">
        <f t="shared" si="8"/>
        <v>0</v>
      </c>
      <c r="J61" s="8">
        <v>0</v>
      </c>
    </row>
    <row r="62" spans="1:10" ht="12.75">
      <c r="A62" s="18" t="s">
        <v>37</v>
      </c>
      <c r="B62" s="15" t="s">
        <v>108</v>
      </c>
      <c r="C62" s="1">
        <f>1379.91-714.51</f>
        <v>665.4000000000001</v>
      </c>
      <c r="D62" s="1"/>
      <c r="E62" s="1">
        <f t="shared" si="7"/>
        <v>665.4000000000001</v>
      </c>
      <c r="F62" s="87"/>
      <c r="G62" s="93">
        <v>1379.91</v>
      </c>
      <c r="H62" s="1"/>
      <c r="I62" s="1">
        <f t="shared" si="8"/>
        <v>1379.91</v>
      </c>
      <c r="J62" s="8">
        <v>0</v>
      </c>
    </row>
    <row r="63" spans="1:10" ht="12.75">
      <c r="A63" s="18" t="s">
        <v>38</v>
      </c>
      <c r="B63" s="15" t="s">
        <v>109</v>
      </c>
      <c r="C63" s="1">
        <f>469.76-209.71</f>
        <v>260.04999999999995</v>
      </c>
      <c r="D63" s="1"/>
      <c r="E63" s="1">
        <f t="shared" si="7"/>
        <v>260.04999999999995</v>
      </c>
      <c r="F63" s="87"/>
      <c r="G63" s="93">
        <v>469.76</v>
      </c>
      <c r="H63" s="1"/>
      <c r="I63" s="1">
        <f t="shared" si="8"/>
        <v>469.76</v>
      </c>
      <c r="J63" s="8">
        <v>0</v>
      </c>
    </row>
    <row r="64" spans="1:10" ht="12.75">
      <c r="A64" s="18" t="s">
        <v>39</v>
      </c>
      <c r="B64" s="15" t="s">
        <v>110</v>
      </c>
      <c r="C64" s="1">
        <f>347.9-317.9</f>
        <v>30</v>
      </c>
      <c r="D64" s="1"/>
      <c r="E64" s="1">
        <f t="shared" si="7"/>
        <v>30</v>
      </c>
      <c r="F64" s="87"/>
      <c r="G64" s="93">
        <v>347.9</v>
      </c>
      <c r="H64" s="1"/>
      <c r="I64" s="1">
        <f t="shared" si="8"/>
        <v>347.9</v>
      </c>
      <c r="J64" s="8">
        <v>0</v>
      </c>
    </row>
    <row r="65" spans="1:10" ht="12.75">
      <c r="A65" s="18" t="s">
        <v>40</v>
      </c>
      <c r="B65" s="15" t="s">
        <v>111</v>
      </c>
      <c r="C65" s="1">
        <v>0</v>
      </c>
      <c r="D65" s="1"/>
      <c r="E65" s="1">
        <f t="shared" si="7"/>
        <v>0</v>
      </c>
      <c r="F65" s="87"/>
      <c r="G65" s="93">
        <v>1209.68</v>
      </c>
      <c r="H65" s="1"/>
      <c r="I65" s="1">
        <f t="shared" si="8"/>
        <v>1209.68</v>
      </c>
      <c r="J65" s="8">
        <v>0</v>
      </c>
    </row>
    <row r="66" spans="1:10" ht="12.75">
      <c r="A66" s="18" t="s">
        <v>41</v>
      </c>
      <c r="B66" s="15" t="s">
        <v>112</v>
      </c>
      <c r="C66" s="1">
        <f>123</f>
        <v>123</v>
      </c>
      <c r="D66" s="1"/>
      <c r="E66" s="1">
        <f t="shared" si="7"/>
        <v>123</v>
      </c>
      <c r="F66" s="87"/>
      <c r="G66" s="93">
        <v>123</v>
      </c>
      <c r="H66" s="1"/>
      <c r="I66" s="1">
        <f t="shared" si="8"/>
        <v>123</v>
      </c>
      <c r="J66" s="8">
        <v>0</v>
      </c>
    </row>
    <row r="67" spans="1:10" ht="12.75">
      <c r="A67" s="18" t="s">
        <v>42</v>
      </c>
      <c r="B67" s="15" t="s">
        <v>113</v>
      </c>
      <c r="C67" s="1">
        <v>0</v>
      </c>
      <c r="D67" s="1"/>
      <c r="E67" s="1">
        <f t="shared" si="7"/>
        <v>0</v>
      </c>
      <c r="F67" s="87"/>
      <c r="G67" s="93">
        <v>417.43</v>
      </c>
      <c r="H67" s="1"/>
      <c r="I67" s="1">
        <f t="shared" si="8"/>
        <v>417.43</v>
      </c>
      <c r="J67" s="8">
        <v>0</v>
      </c>
    </row>
    <row r="68" spans="1:10" ht="12.75">
      <c r="A68" s="18" t="s">
        <v>43</v>
      </c>
      <c r="B68" s="15" t="s">
        <v>156</v>
      </c>
      <c r="C68" s="1">
        <v>2356.31</v>
      </c>
      <c r="D68" s="1"/>
      <c r="E68" s="1">
        <f t="shared" si="7"/>
        <v>2356.31</v>
      </c>
      <c r="F68" s="101">
        <v>625</v>
      </c>
      <c r="G68" s="93">
        <v>2356.31</v>
      </c>
      <c r="H68" s="1"/>
      <c r="I68" s="1">
        <f t="shared" si="8"/>
        <v>2356.31</v>
      </c>
      <c r="J68" s="8">
        <f>625*2</f>
        <v>1250</v>
      </c>
    </row>
    <row r="69" spans="1:10" ht="12.75">
      <c r="A69" s="18" t="s">
        <v>44</v>
      </c>
      <c r="B69" s="20" t="s">
        <v>157</v>
      </c>
      <c r="C69" s="1">
        <f>520+150-170</f>
        <v>500</v>
      </c>
      <c r="D69" s="1"/>
      <c r="E69" s="1">
        <f t="shared" si="7"/>
        <v>500</v>
      </c>
      <c r="F69" s="101">
        <v>375</v>
      </c>
      <c r="G69" s="93">
        <f>520+150</f>
        <v>670</v>
      </c>
      <c r="H69" s="1"/>
      <c r="I69" s="1">
        <f t="shared" si="8"/>
        <v>670</v>
      </c>
      <c r="J69" s="8">
        <f>375*2</f>
        <v>750</v>
      </c>
    </row>
    <row r="70" spans="1:10" ht="12.75">
      <c r="A70" s="18" t="s">
        <v>45</v>
      </c>
      <c r="B70" s="15" t="s">
        <v>158</v>
      </c>
      <c r="C70" s="1">
        <f>1230.4+1173.33+1.6+56.64+296.84-1691.27</f>
        <v>1067.54</v>
      </c>
      <c r="D70" s="1"/>
      <c r="E70" s="1">
        <f t="shared" si="7"/>
        <v>1067.54</v>
      </c>
      <c r="F70" s="101">
        <v>1500</v>
      </c>
      <c r="G70" s="93">
        <f>1230.4+1173.33+1.6+56.64+296.84</f>
        <v>2758.81</v>
      </c>
      <c r="H70" s="1"/>
      <c r="I70" s="1">
        <f t="shared" si="8"/>
        <v>2758.81</v>
      </c>
      <c r="J70" s="8">
        <f>1500*2</f>
        <v>3000</v>
      </c>
    </row>
    <row r="71" spans="1:10" ht="12.75">
      <c r="A71" s="18" t="s">
        <v>46</v>
      </c>
      <c r="B71" s="15" t="s">
        <v>213</v>
      </c>
      <c r="C71" s="1">
        <f>1061.45+657+1412.65-2543.3</f>
        <v>587.8000000000002</v>
      </c>
      <c r="D71" s="1"/>
      <c r="E71" s="1">
        <f t="shared" si="7"/>
        <v>587.8000000000002</v>
      </c>
      <c r="F71" s="101">
        <f>6220/4</f>
        <v>1555</v>
      </c>
      <c r="G71" s="93">
        <f>1061.45+657+1412.65</f>
        <v>3131.1000000000004</v>
      </c>
      <c r="H71" s="1"/>
      <c r="I71" s="1">
        <f t="shared" si="8"/>
        <v>3131.1000000000004</v>
      </c>
      <c r="J71" s="8">
        <f>750+1555</f>
        <v>2305</v>
      </c>
    </row>
    <row r="72" spans="1:10" ht="12.75">
      <c r="A72" s="18" t="s">
        <v>47</v>
      </c>
      <c r="B72" s="15" t="s">
        <v>159</v>
      </c>
      <c r="C72" s="1"/>
      <c r="D72" s="1"/>
      <c r="E72" s="1">
        <f t="shared" si="7"/>
        <v>0</v>
      </c>
      <c r="F72" s="101"/>
      <c r="G72" s="93"/>
      <c r="H72" s="1"/>
      <c r="I72" s="1">
        <f t="shared" si="8"/>
        <v>0</v>
      </c>
      <c r="J72" s="8">
        <f>500</f>
        <v>500</v>
      </c>
    </row>
    <row r="73" spans="1:10" ht="12.75">
      <c r="A73" s="18" t="s">
        <v>48</v>
      </c>
      <c r="B73" s="15" t="s">
        <v>160</v>
      </c>
      <c r="C73" s="1">
        <f>3671.26+489.56+504+600+875.93-2578.24</f>
        <v>3562.510000000001</v>
      </c>
      <c r="D73" s="1"/>
      <c r="E73" s="1">
        <f t="shared" si="7"/>
        <v>3562.510000000001</v>
      </c>
      <c r="F73" s="101">
        <f>6250/2</f>
        <v>3125</v>
      </c>
      <c r="G73" s="93">
        <f>3671.26+489.56+504+600+875.93</f>
        <v>6140.750000000001</v>
      </c>
      <c r="H73" s="1"/>
      <c r="I73" s="1">
        <f t="shared" si="8"/>
        <v>6140.750000000001</v>
      </c>
      <c r="J73" s="8">
        <f>6250+3125</f>
        <v>9375</v>
      </c>
    </row>
    <row r="74" spans="1:10" ht="12.75">
      <c r="A74" s="18" t="s">
        <v>49</v>
      </c>
      <c r="B74" s="15" t="s">
        <v>161</v>
      </c>
      <c r="C74" s="1"/>
      <c r="D74" s="1"/>
      <c r="E74" s="1">
        <f t="shared" si="7"/>
        <v>0</v>
      </c>
      <c r="F74" s="101">
        <v>50000</v>
      </c>
      <c r="G74" s="93"/>
      <c r="H74" s="1"/>
      <c r="I74" s="1">
        <f t="shared" si="8"/>
        <v>0</v>
      </c>
      <c r="J74" s="8">
        <f>37500+50000</f>
        <v>87500</v>
      </c>
    </row>
    <row r="75" spans="1:10" ht="12.75">
      <c r="A75" s="18" t="s">
        <v>50</v>
      </c>
      <c r="B75" s="15" t="s">
        <v>114</v>
      </c>
      <c r="C75" s="1">
        <f>5853.43-4038.18</f>
        <v>1815.2500000000005</v>
      </c>
      <c r="D75" s="1"/>
      <c r="E75" s="1">
        <f t="shared" si="7"/>
        <v>1815.2500000000005</v>
      </c>
      <c r="F75" s="87"/>
      <c r="G75" s="93">
        <v>5853.43</v>
      </c>
      <c r="H75" s="1"/>
      <c r="I75" s="1">
        <f t="shared" si="8"/>
        <v>5853.43</v>
      </c>
      <c r="J75" s="8">
        <v>0</v>
      </c>
    </row>
    <row r="76" spans="1:10" ht="12.75">
      <c r="A76" s="18" t="s">
        <v>51</v>
      </c>
      <c r="B76" s="15" t="s">
        <v>162</v>
      </c>
      <c r="C76" s="1">
        <f>520.62-110</f>
        <v>410.62</v>
      </c>
      <c r="D76" s="1"/>
      <c r="E76" s="1">
        <f t="shared" si="7"/>
        <v>410.62</v>
      </c>
      <c r="F76" s="87"/>
      <c r="G76" s="93">
        <v>520.62</v>
      </c>
      <c r="H76" s="1"/>
      <c r="I76" s="1">
        <f t="shared" si="8"/>
        <v>520.62</v>
      </c>
      <c r="J76" s="8">
        <v>0</v>
      </c>
    </row>
    <row r="77" spans="1:10" ht="12.75">
      <c r="A77" s="18" t="s">
        <v>52</v>
      </c>
      <c r="B77" s="15" t="s">
        <v>163</v>
      </c>
      <c r="C77" s="1">
        <f>90.43+1301.83-84.63</f>
        <v>1307.63</v>
      </c>
      <c r="D77" s="1"/>
      <c r="E77" s="1">
        <f t="shared" si="7"/>
        <v>1307.63</v>
      </c>
      <c r="F77" s="87"/>
      <c r="G77" s="93">
        <f>90.43+1301.83</f>
        <v>1392.26</v>
      </c>
      <c r="H77" s="1"/>
      <c r="I77" s="1">
        <f t="shared" si="8"/>
        <v>1392.26</v>
      </c>
      <c r="J77" s="8">
        <v>0</v>
      </c>
    </row>
    <row r="78" spans="1:10" ht="12.75">
      <c r="A78" s="18" t="s">
        <v>205</v>
      </c>
      <c r="B78" s="15" t="s">
        <v>206</v>
      </c>
      <c r="C78" s="1">
        <f>11842.95-3976.6</f>
        <v>7866.35</v>
      </c>
      <c r="D78" s="1"/>
      <c r="E78" s="1">
        <f t="shared" si="7"/>
        <v>7866.35</v>
      </c>
      <c r="F78" s="87"/>
      <c r="G78" s="93">
        <v>11842.95</v>
      </c>
      <c r="H78" s="1"/>
      <c r="I78" s="1">
        <f t="shared" si="8"/>
        <v>11842.95</v>
      </c>
      <c r="J78" s="8"/>
    </row>
    <row r="79" spans="1:10" ht="12.75">
      <c r="A79" s="18" t="s">
        <v>53</v>
      </c>
      <c r="B79" s="15" t="s">
        <v>115</v>
      </c>
      <c r="C79" s="1">
        <f>24765.58-11979.75</f>
        <v>12785.830000000002</v>
      </c>
      <c r="D79" s="1"/>
      <c r="E79" s="1">
        <f t="shared" si="7"/>
        <v>12785.830000000002</v>
      </c>
      <c r="F79" s="87"/>
      <c r="G79" s="93">
        <v>24765.58</v>
      </c>
      <c r="H79" s="1"/>
      <c r="I79" s="1">
        <f t="shared" si="8"/>
        <v>24765.58</v>
      </c>
      <c r="J79" s="8">
        <v>0</v>
      </c>
    </row>
    <row r="80" spans="1:10" ht="12.75">
      <c r="A80" s="18" t="s">
        <v>54</v>
      </c>
      <c r="B80" s="15" t="s">
        <v>116</v>
      </c>
      <c r="C80" s="1">
        <f>2144.53-1138.87</f>
        <v>1005.6600000000003</v>
      </c>
      <c r="D80" s="1"/>
      <c r="E80" s="1">
        <f t="shared" si="7"/>
        <v>1005.6600000000003</v>
      </c>
      <c r="F80" s="87"/>
      <c r="G80" s="93">
        <v>2144.53</v>
      </c>
      <c r="H80" s="1"/>
      <c r="I80" s="1">
        <f t="shared" si="8"/>
        <v>2144.53</v>
      </c>
      <c r="J80" s="8">
        <v>0</v>
      </c>
    </row>
    <row r="81" spans="1:10" ht="12.75">
      <c r="A81" s="18" t="s">
        <v>191</v>
      </c>
      <c r="B81" s="15" t="s">
        <v>193</v>
      </c>
      <c r="C81" s="1"/>
      <c r="D81" s="1"/>
      <c r="E81" s="1">
        <f t="shared" si="7"/>
        <v>0</v>
      </c>
      <c r="F81" s="87"/>
      <c r="G81" s="93"/>
      <c r="H81" s="1"/>
      <c r="I81" s="1">
        <f t="shared" si="8"/>
        <v>0</v>
      </c>
      <c r="J81" s="8">
        <v>0</v>
      </c>
    </row>
    <row r="82" spans="1:10" ht="12.75">
      <c r="A82" s="18" t="s">
        <v>192</v>
      </c>
      <c r="B82" s="15" t="s">
        <v>194</v>
      </c>
      <c r="C82" s="1">
        <f>15479.6-10839.6</f>
        <v>4640</v>
      </c>
      <c r="D82" s="1"/>
      <c r="E82" s="1">
        <f t="shared" si="7"/>
        <v>4640</v>
      </c>
      <c r="F82" s="87"/>
      <c r="G82" s="93">
        <v>15479.6</v>
      </c>
      <c r="H82" s="1"/>
      <c r="I82" s="1">
        <f t="shared" si="8"/>
        <v>15479.6</v>
      </c>
      <c r="J82" s="8">
        <v>0</v>
      </c>
    </row>
    <row r="83" spans="1:10" ht="12.75">
      <c r="A83" s="18" t="s">
        <v>195</v>
      </c>
      <c r="B83" s="15" t="s">
        <v>196</v>
      </c>
      <c r="C83" s="1">
        <f>3810-3060</f>
        <v>750</v>
      </c>
      <c r="D83" s="1"/>
      <c r="E83" s="1">
        <f t="shared" si="7"/>
        <v>750</v>
      </c>
      <c r="F83" s="87"/>
      <c r="G83" s="93">
        <v>3810</v>
      </c>
      <c r="H83" s="1"/>
      <c r="I83" s="1">
        <f t="shared" si="8"/>
        <v>3810</v>
      </c>
      <c r="J83" s="8">
        <v>0</v>
      </c>
    </row>
    <row r="84" spans="1:10" ht="12.75">
      <c r="A84" s="18" t="s">
        <v>55</v>
      </c>
      <c r="B84" s="15" t="s">
        <v>117</v>
      </c>
      <c r="C84" s="1">
        <f>10922-5689</f>
        <v>5233</v>
      </c>
      <c r="D84" s="1"/>
      <c r="E84" s="1">
        <f t="shared" si="7"/>
        <v>5233</v>
      </c>
      <c r="F84" s="87"/>
      <c r="G84" s="93">
        <v>10922</v>
      </c>
      <c r="H84" s="1"/>
      <c r="I84" s="1">
        <f t="shared" si="8"/>
        <v>10922</v>
      </c>
      <c r="J84" s="8">
        <v>0</v>
      </c>
    </row>
    <row r="85" spans="1:10" ht="12.75">
      <c r="A85" s="18"/>
      <c r="B85" s="15" t="s">
        <v>204</v>
      </c>
      <c r="C85" s="1"/>
      <c r="D85" s="1"/>
      <c r="E85" s="1">
        <f t="shared" si="7"/>
        <v>0</v>
      </c>
      <c r="F85" s="87"/>
      <c r="G85" s="93"/>
      <c r="H85" s="1"/>
      <c r="I85" s="1">
        <f t="shared" si="8"/>
        <v>0</v>
      </c>
      <c r="J85" s="8"/>
    </row>
    <row r="86" spans="1:10" ht="12.75">
      <c r="A86" s="18" t="s">
        <v>56</v>
      </c>
      <c r="B86" s="15" t="s">
        <v>118</v>
      </c>
      <c r="C86" s="1">
        <f>2915.07-904.33</f>
        <v>2010.7400000000002</v>
      </c>
      <c r="D86" s="1"/>
      <c r="E86" s="1">
        <f t="shared" si="7"/>
        <v>2010.7400000000002</v>
      </c>
      <c r="F86" s="87"/>
      <c r="G86" s="93">
        <v>2915.07</v>
      </c>
      <c r="H86" s="1"/>
      <c r="I86" s="1">
        <f t="shared" si="8"/>
        <v>2915.07</v>
      </c>
      <c r="J86" s="8">
        <v>0</v>
      </c>
    </row>
    <row r="87" spans="1:10" ht="12.75">
      <c r="A87" s="18" t="s">
        <v>57</v>
      </c>
      <c r="B87" s="15" t="s">
        <v>119</v>
      </c>
      <c r="C87" s="1">
        <v>458.83</v>
      </c>
      <c r="D87" s="1"/>
      <c r="E87" s="1">
        <f t="shared" si="7"/>
        <v>458.83</v>
      </c>
      <c r="F87" s="87"/>
      <c r="G87" s="93">
        <v>458.83</v>
      </c>
      <c r="H87" s="1"/>
      <c r="I87" s="1">
        <f t="shared" si="8"/>
        <v>458.83</v>
      </c>
      <c r="J87" s="8">
        <v>0</v>
      </c>
    </row>
    <row r="88" spans="1:10" ht="12.75">
      <c r="A88" s="18" t="s">
        <v>197</v>
      </c>
      <c r="B88" s="15" t="s">
        <v>198</v>
      </c>
      <c r="C88" s="1">
        <f>11517.9-5979.41</f>
        <v>5538.49</v>
      </c>
      <c r="D88" s="1"/>
      <c r="E88" s="1">
        <f t="shared" si="7"/>
        <v>5538.49</v>
      </c>
      <c r="F88" s="87"/>
      <c r="G88" s="93">
        <v>11517.9</v>
      </c>
      <c r="H88" s="1"/>
      <c r="I88" s="1">
        <f t="shared" si="8"/>
        <v>11517.9</v>
      </c>
      <c r="J88" s="8">
        <v>0</v>
      </c>
    </row>
    <row r="89" spans="1:10" ht="12.75">
      <c r="A89" s="18" t="s">
        <v>58</v>
      </c>
      <c r="B89" s="15" t="s">
        <v>164</v>
      </c>
      <c r="C89" s="1">
        <f>3722.9-2053.1</f>
        <v>1669.8000000000002</v>
      </c>
      <c r="D89" s="1"/>
      <c r="E89" s="1">
        <f t="shared" si="7"/>
        <v>1669.8000000000002</v>
      </c>
      <c r="F89" s="87"/>
      <c r="G89" s="93">
        <v>3722.9</v>
      </c>
      <c r="H89" s="1"/>
      <c r="I89" s="1">
        <f t="shared" si="8"/>
        <v>3722.9</v>
      </c>
      <c r="J89" s="8">
        <v>0</v>
      </c>
    </row>
    <row r="90" spans="1:10" ht="12.75">
      <c r="A90" s="18" t="s">
        <v>59</v>
      </c>
      <c r="B90" s="15" t="s">
        <v>120</v>
      </c>
      <c r="C90" s="1">
        <v>0</v>
      </c>
      <c r="D90" s="1"/>
      <c r="E90" s="1">
        <f t="shared" si="7"/>
        <v>0</v>
      </c>
      <c r="F90" s="87"/>
      <c r="G90" s="93">
        <v>0</v>
      </c>
      <c r="H90" s="1"/>
      <c r="I90" s="1">
        <f t="shared" si="8"/>
        <v>0</v>
      </c>
      <c r="J90" s="8">
        <v>0</v>
      </c>
    </row>
    <row r="91" spans="1:10" ht="12.75">
      <c r="A91" s="18"/>
      <c r="B91" s="15" t="s">
        <v>207</v>
      </c>
      <c r="C91" s="1">
        <v>0</v>
      </c>
      <c r="D91" s="1"/>
      <c r="E91" s="1">
        <f t="shared" si="7"/>
        <v>0</v>
      </c>
      <c r="F91" s="87"/>
      <c r="G91" s="93">
        <v>0</v>
      </c>
      <c r="H91" s="1"/>
      <c r="I91" s="1">
        <f t="shared" si="8"/>
        <v>0</v>
      </c>
      <c r="J91" s="8"/>
    </row>
    <row r="92" spans="1:10" ht="12.75">
      <c r="A92" s="18" t="s">
        <v>60</v>
      </c>
      <c r="B92" s="15" t="s">
        <v>203</v>
      </c>
      <c r="C92" s="1">
        <f>252-140</f>
        <v>112</v>
      </c>
      <c r="D92" s="1"/>
      <c r="E92" s="1">
        <f t="shared" si="7"/>
        <v>112</v>
      </c>
      <c r="F92" s="87"/>
      <c r="G92" s="93">
        <v>252</v>
      </c>
      <c r="H92" s="1"/>
      <c r="I92" s="1">
        <f t="shared" si="8"/>
        <v>252</v>
      </c>
      <c r="J92" s="8">
        <v>0</v>
      </c>
    </row>
    <row r="93" spans="1:10" ht="12.75">
      <c r="A93" s="18" t="s">
        <v>200</v>
      </c>
      <c r="B93" s="15" t="s">
        <v>199</v>
      </c>
      <c r="C93" s="1">
        <f>17982.67-17582.84</f>
        <v>399.8299999999981</v>
      </c>
      <c r="D93" s="1"/>
      <c r="E93" s="1">
        <f t="shared" si="7"/>
        <v>399.8299999999981</v>
      </c>
      <c r="F93" s="87"/>
      <c r="G93" s="93">
        <v>17982.67</v>
      </c>
      <c r="H93" s="1"/>
      <c r="I93" s="1">
        <f t="shared" si="8"/>
        <v>17982.67</v>
      </c>
      <c r="J93" s="8">
        <v>0</v>
      </c>
    </row>
    <row r="94" spans="1:10" ht="12.75">
      <c r="A94" s="18" t="s">
        <v>61</v>
      </c>
      <c r="B94" s="15" t="s">
        <v>201</v>
      </c>
      <c r="C94" s="1">
        <f>963.36+5120.56+675+1687.4+7052.36-6000.48</f>
        <v>9498.2</v>
      </c>
      <c r="D94" s="1"/>
      <c r="E94" s="1">
        <f t="shared" si="7"/>
        <v>9498.2</v>
      </c>
      <c r="F94" s="108">
        <v>3750</v>
      </c>
      <c r="G94" s="93">
        <f>963.36+5120.56+675+1687.4+7052.36</f>
        <v>15498.68</v>
      </c>
      <c r="H94" s="1"/>
      <c r="I94" s="1">
        <f t="shared" si="8"/>
        <v>15498.68</v>
      </c>
      <c r="J94" s="8">
        <f>3750+3750</f>
        <v>7500</v>
      </c>
    </row>
    <row r="95" spans="1:10" ht="12.75">
      <c r="A95" s="18" t="s">
        <v>62</v>
      </c>
      <c r="B95" s="15" t="s">
        <v>165</v>
      </c>
      <c r="C95" s="1">
        <v>0</v>
      </c>
      <c r="D95" s="1"/>
      <c r="E95" s="1">
        <f t="shared" si="7"/>
        <v>0</v>
      </c>
      <c r="F95" s="87"/>
      <c r="G95" s="93">
        <v>0</v>
      </c>
      <c r="H95" s="1"/>
      <c r="I95" s="1">
        <f t="shared" si="8"/>
        <v>0</v>
      </c>
      <c r="J95" s="8">
        <v>25</v>
      </c>
    </row>
    <row r="96" spans="1:10" ht="12.75">
      <c r="A96" s="18" t="s">
        <v>63</v>
      </c>
      <c r="B96" s="15" t="s">
        <v>166</v>
      </c>
      <c r="C96" s="1">
        <f>1888+234.52+2945.16+17246.54+442-18669.55</f>
        <v>4086.670000000002</v>
      </c>
      <c r="D96" s="1"/>
      <c r="E96" s="1">
        <f t="shared" si="7"/>
        <v>4086.670000000002</v>
      </c>
      <c r="F96" s="87">
        <v>5000</v>
      </c>
      <c r="G96" s="93">
        <f>1888+234.52+2945.16+17246.54+442</f>
        <v>22756.22</v>
      </c>
      <c r="H96" s="1"/>
      <c r="I96" s="1">
        <f>SUM(G96:H96)</f>
        <v>22756.22</v>
      </c>
      <c r="J96" s="8">
        <f>5000+5000</f>
        <v>10000</v>
      </c>
    </row>
    <row r="97" spans="1:10" ht="12.75">
      <c r="A97" s="44" t="s">
        <v>64</v>
      </c>
      <c r="B97" s="43" t="s">
        <v>168</v>
      </c>
      <c r="C97" s="1">
        <v>0</v>
      </c>
      <c r="D97" s="1"/>
      <c r="E97" s="1">
        <f t="shared" si="7"/>
        <v>0</v>
      </c>
      <c r="F97" s="87"/>
      <c r="G97" s="93">
        <v>9.26</v>
      </c>
      <c r="H97" s="1"/>
      <c r="I97" s="1">
        <f>SUM(G97:H97)</f>
        <v>9.26</v>
      </c>
      <c r="J97" s="8">
        <v>0</v>
      </c>
    </row>
    <row r="98" spans="1:10" ht="12.75">
      <c r="A98" s="18" t="s">
        <v>65</v>
      </c>
      <c r="B98" s="20" t="s">
        <v>167</v>
      </c>
      <c r="C98" s="2">
        <f>662.44-47.44</f>
        <v>615</v>
      </c>
      <c r="D98" s="2"/>
      <c r="E98" s="2">
        <f>SUM(C98:D98)</f>
        <v>615</v>
      </c>
      <c r="F98" s="90">
        <v>500</v>
      </c>
      <c r="G98" s="94">
        <f>662.44</f>
        <v>662.44</v>
      </c>
      <c r="H98" s="2"/>
      <c r="I98" s="2">
        <f>SUM(G98:H98)</f>
        <v>662.44</v>
      </c>
      <c r="J98" s="8">
        <f>83.75+500</f>
        <v>583.75</v>
      </c>
    </row>
    <row r="99" spans="1:10" ht="12.75">
      <c r="A99" s="18"/>
      <c r="B99" s="15"/>
      <c r="C99" s="22">
        <f aca="true" t="shared" si="9" ref="C99:J99">SUM(C56:C98)</f>
        <v>78002.49</v>
      </c>
      <c r="D99" s="22">
        <f t="shared" si="9"/>
        <v>0</v>
      </c>
      <c r="E99" s="22">
        <f t="shared" si="9"/>
        <v>78002.49</v>
      </c>
      <c r="F99" s="91">
        <f t="shared" si="9"/>
        <v>79805</v>
      </c>
      <c r="G99" s="95">
        <f>SUM(G56:G98)</f>
        <v>192573.93000000002</v>
      </c>
      <c r="H99" s="22">
        <f t="shared" si="9"/>
        <v>0</v>
      </c>
      <c r="I99" s="22">
        <f t="shared" si="9"/>
        <v>192573.93000000002</v>
      </c>
      <c r="J99" s="26">
        <f t="shared" si="9"/>
        <v>152913.75</v>
      </c>
    </row>
    <row r="100" spans="1:10" ht="12.75">
      <c r="A100" s="16" t="s">
        <v>66</v>
      </c>
      <c r="B100" s="79" t="s">
        <v>121</v>
      </c>
      <c r="C100" s="8"/>
      <c r="D100" s="8"/>
      <c r="E100" s="8"/>
      <c r="F100" s="87"/>
      <c r="G100" s="96"/>
      <c r="H100" s="8"/>
      <c r="I100" s="8"/>
      <c r="J100" s="8"/>
    </row>
    <row r="101" spans="1:10" ht="12.75">
      <c r="A101" s="23" t="s">
        <v>67</v>
      </c>
      <c r="B101" s="20" t="s">
        <v>169</v>
      </c>
      <c r="C101" s="1"/>
      <c r="D101" s="1"/>
      <c r="E101" s="1">
        <f>SUM(C101:D101)</f>
        <v>0</v>
      </c>
      <c r="F101" s="87"/>
      <c r="G101" s="93"/>
      <c r="H101" s="1"/>
      <c r="I101" s="1">
        <f>SUM(G101:H101)</f>
        <v>0</v>
      </c>
      <c r="J101" s="8"/>
    </row>
    <row r="102" spans="1:10" ht="12.75">
      <c r="A102" s="23" t="s">
        <v>68</v>
      </c>
      <c r="B102" s="20" t="s">
        <v>170</v>
      </c>
      <c r="C102" s="1">
        <f>(1771973.57-1745750.32)-20305.75</f>
        <v>5917.5</v>
      </c>
      <c r="D102" s="1"/>
      <c r="E102" s="1">
        <f>SUM(C102:D102)</f>
        <v>5917.5</v>
      </c>
      <c r="F102" s="87"/>
      <c r="G102" s="93">
        <f>(1771973.57-1745750.32)</f>
        <v>26223.25</v>
      </c>
      <c r="H102" s="1"/>
      <c r="I102" s="1">
        <f>SUM(G102:H102)</f>
        <v>26223.25</v>
      </c>
      <c r="J102" s="8">
        <f>F102*$M$13</f>
        <v>0</v>
      </c>
    </row>
    <row r="103" spans="1:10" ht="12.75">
      <c r="A103" s="23" t="s">
        <v>69</v>
      </c>
      <c r="B103" s="20" t="s">
        <v>171</v>
      </c>
      <c r="C103" s="1">
        <f>538.67+411.23</f>
        <v>949.9</v>
      </c>
      <c r="D103" s="1"/>
      <c r="E103" s="1">
        <f>SUM(C103:D103)</f>
        <v>949.9</v>
      </c>
      <c r="F103" s="87"/>
      <c r="G103" s="93">
        <f>711+538.67+411.23</f>
        <v>1660.9</v>
      </c>
      <c r="H103" s="1"/>
      <c r="I103" s="1">
        <f>SUM(G103:H103)</f>
        <v>1660.9</v>
      </c>
      <c r="J103" s="8">
        <f>F103*$M$13</f>
        <v>0</v>
      </c>
    </row>
    <row r="104" spans="1:10" ht="12.75">
      <c r="A104" s="23" t="s">
        <v>70</v>
      </c>
      <c r="B104" s="20" t="s">
        <v>172</v>
      </c>
      <c r="C104" s="1">
        <f>332.1</f>
        <v>332.1</v>
      </c>
      <c r="D104" s="1"/>
      <c r="E104" s="1">
        <f>SUM(C104:D104)</f>
        <v>332.1</v>
      </c>
      <c r="F104" s="87"/>
      <c r="G104" s="93">
        <f>4855+332.1</f>
        <v>5187.1</v>
      </c>
      <c r="H104" s="1"/>
      <c r="I104" s="1">
        <f>SUM(G104:H104)</f>
        <v>5187.1</v>
      </c>
      <c r="J104" s="8">
        <f>F104*$M$13</f>
        <v>0</v>
      </c>
    </row>
    <row r="105" spans="1:10" ht="12.75">
      <c r="A105" s="18" t="s">
        <v>71</v>
      </c>
      <c r="B105" s="20" t="s">
        <v>173</v>
      </c>
      <c r="C105" s="1">
        <f>132917.35-75905.66</f>
        <v>57011.69</v>
      </c>
      <c r="D105" s="1"/>
      <c r="E105" s="2">
        <f>SUM(C105:D105)</f>
        <v>57011.69</v>
      </c>
      <c r="F105" s="90"/>
      <c r="G105" s="93">
        <f>132917.35-75905.66</f>
        <v>57011.69</v>
      </c>
      <c r="H105" s="1"/>
      <c r="I105" s="2">
        <f>SUM(G105:H105)</f>
        <v>57011.69</v>
      </c>
      <c r="J105" s="8">
        <f>F105</f>
        <v>0</v>
      </c>
    </row>
    <row r="106" spans="1:10" ht="13.5" customHeight="1">
      <c r="A106" s="5"/>
      <c r="B106" s="5"/>
      <c r="C106" s="30">
        <f aca="true" t="shared" si="10" ref="C106:I106">SUM(C101:C105)</f>
        <v>64211.19</v>
      </c>
      <c r="D106" s="30">
        <f t="shared" si="10"/>
        <v>0</v>
      </c>
      <c r="E106" s="30">
        <f t="shared" si="10"/>
        <v>64211.19</v>
      </c>
      <c r="F106" s="102">
        <f>SUM(F101:F105)</f>
        <v>0</v>
      </c>
      <c r="G106" s="103">
        <f t="shared" si="10"/>
        <v>90082.94</v>
      </c>
      <c r="H106" s="30">
        <f t="shared" si="10"/>
        <v>0</v>
      </c>
      <c r="I106" s="30">
        <f t="shared" si="10"/>
        <v>90082.94</v>
      </c>
      <c r="J106" s="30">
        <f>SUM(J101:J105)</f>
        <v>0</v>
      </c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32" t="s">
        <v>8</v>
      </c>
      <c r="C108" s="30">
        <f aca="true" t="shared" si="11" ref="C108:J108">SUM(C106,C99,C54)</f>
        <v>151865.12</v>
      </c>
      <c r="D108" s="30">
        <f t="shared" si="11"/>
        <v>0</v>
      </c>
      <c r="E108" s="30">
        <f t="shared" si="11"/>
        <v>151865.12</v>
      </c>
      <c r="F108" s="30">
        <f t="shared" si="11"/>
        <v>99389.95</v>
      </c>
      <c r="G108" s="42">
        <f>SUM(G106,G99,G54)</f>
        <v>305935.70999999996</v>
      </c>
      <c r="H108" s="30">
        <f t="shared" si="11"/>
        <v>0</v>
      </c>
      <c r="I108" s="30">
        <f t="shared" si="11"/>
        <v>305935.70999999996</v>
      </c>
      <c r="J108" s="30">
        <f t="shared" si="11"/>
        <v>191573.2</v>
      </c>
    </row>
    <row r="111" ht="12.75">
      <c r="A111" s="4" t="s">
        <v>174</v>
      </c>
    </row>
    <row r="112" ht="12.75">
      <c r="A112" s="4"/>
    </row>
    <row r="113" spans="1:10" ht="12.75">
      <c r="A113" s="33"/>
      <c r="B113" s="7"/>
      <c r="C113" s="63" t="str">
        <f>C6</f>
        <v>April - Gunju 2015</v>
      </c>
      <c r="D113" s="64"/>
      <c r="E113" s="64"/>
      <c r="F113" s="65"/>
      <c r="G113" s="66" t="str">
        <f>IF($B$1&lt;&gt;"","SENA S-ISSA "&amp;$B$1,"SENA S-ISSA (SENA)")</f>
        <v>SENA S-ISSA 2015</v>
      </c>
      <c r="H113" s="64"/>
      <c r="I113" s="64"/>
      <c r="J113" s="67"/>
    </row>
    <row r="114" spans="1:10" ht="18.75">
      <c r="A114" s="71" t="s">
        <v>74</v>
      </c>
      <c r="B114" s="9" t="s">
        <v>75</v>
      </c>
      <c r="C114" s="45" t="s">
        <v>76</v>
      </c>
      <c r="D114" s="10" t="s">
        <v>182</v>
      </c>
      <c r="E114" s="11" t="s">
        <v>8</v>
      </c>
      <c r="F114" s="52" t="s">
        <v>77</v>
      </c>
      <c r="G114" s="10" t="s">
        <v>76</v>
      </c>
      <c r="H114" s="10" t="s">
        <v>182</v>
      </c>
      <c r="I114" s="11" t="s">
        <v>8</v>
      </c>
      <c r="J114" s="7" t="s">
        <v>77</v>
      </c>
    </row>
    <row r="115" spans="1:10" ht="12.75">
      <c r="A115" s="12"/>
      <c r="B115" s="12"/>
      <c r="C115" s="46" t="s">
        <v>188</v>
      </c>
      <c r="D115" s="13" t="s">
        <v>188</v>
      </c>
      <c r="E115" s="14" t="s">
        <v>188</v>
      </c>
      <c r="F115" s="53" t="s">
        <v>188</v>
      </c>
      <c r="G115" s="13" t="s">
        <v>188</v>
      </c>
      <c r="H115" s="13" t="s">
        <v>188</v>
      </c>
      <c r="I115" s="14" t="s">
        <v>188</v>
      </c>
      <c r="J115" s="12" t="s">
        <v>188</v>
      </c>
    </row>
    <row r="116" spans="1:10" ht="4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6" t="s">
        <v>9</v>
      </c>
      <c r="B117" s="17" t="s">
        <v>78</v>
      </c>
      <c r="C117" s="15"/>
      <c r="D117" s="15"/>
      <c r="E117" s="15"/>
      <c r="F117" s="15"/>
      <c r="G117" s="15"/>
      <c r="H117" s="15"/>
      <c r="I117" s="15"/>
      <c r="J117" s="15"/>
    </row>
    <row r="118" spans="1:10" ht="6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8" t="s">
        <v>72</v>
      </c>
      <c r="B119" s="15" t="s">
        <v>124</v>
      </c>
      <c r="C119" s="19">
        <f aca="true" t="shared" si="12" ref="C119:J119">C19</f>
        <v>119774.90999999999</v>
      </c>
      <c r="D119" s="19">
        <f t="shared" si="12"/>
        <v>0</v>
      </c>
      <c r="E119" s="19">
        <f t="shared" si="12"/>
        <v>119774.90999999999</v>
      </c>
      <c r="F119" s="19">
        <f t="shared" si="12"/>
        <v>107211.25</v>
      </c>
      <c r="G119" s="35">
        <f t="shared" si="12"/>
        <v>229971.90999999997</v>
      </c>
      <c r="H119" s="19">
        <f t="shared" si="12"/>
        <v>0</v>
      </c>
      <c r="I119" s="19">
        <f t="shared" si="12"/>
        <v>229971.90999999997</v>
      </c>
      <c r="J119" s="19">
        <f t="shared" si="12"/>
        <v>246422.5</v>
      </c>
    </row>
    <row r="120" spans="1:11" s="27" customFormat="1" ht="12.75">
      <c r="A120" s="18" t="s">
        <v>11</v>
      </c>
      <c r="B120" s="15" t="s">
        <v>176</v>
      </c>
      <c r="C120" s="8">
        <f aca="true" t="shared" si="13" ref="C120:J120">C26</f>
        <v>43425.87</v>
      </c>
      <c r="D120" s="8">
        <f t="shared" si="13"/>
        <v>0</v>
      </c>
      <c r="E120" s="8">
        <f t="shared" si="13"/>
        <v>43425.87</v>
      </c>
      <c r="F120" s="8">
        <f t="shared" si="13"/>
        <v>5900</v>
      </c>
      <c r="G120" s="39">
        <f t="shared" si="13"/>
        <v>50714.259999999995</v>
      </c>
      <c r="H120" s="8">
        <f t="shared" si="13"/>
        <v>0</v>
      </c>
      <c r="I120" s="8">
        <f t="shared" si="13"/>
        <v>50714.259999999995</v>
      </c>
      <c r="J120" s="8">
        <f t="shared" si="13"/>
        <v>17900</v>
      </c>
      <c r="K120" s="3"/>
    </row>
    <row r="121" spans="1:11" ht="12.75">
      <c r="A121" s="34" t="s">
        <v>16</v>
      </c>
      <c r="B121" s="24" t="s">
        <v>138</v>
      </c>
      <c r="C121" s="8">
        <f aca="true" t="shared" si="14" ref="C121:J121">C30</f>
        <v>0</v>
      </c>
      <c r="D121" s="8">
        <f t="shared" si="14"/>
        <v>0</v>
      </c>
      <c r="E121" s="8">
        <f t="shared" si="14"/>
        <v>0</v>
      </c>
      <c r="F121" s="8">
        <f t="shared" si="14"/>
        <v>0</v>
      </c>
      <c r="G121" s="39">
        <f t="shared" si="14"/>
        <v>0.88</v>
      </c>
      <c r="H121" s="8">
        <f t="shared" si="14"/>
        <v>0</v>
      </c>
      <c r="I121" s="8">
        <f t="shared" si="14"/>
        <v>0.88</v>
      </c>
      <c r="J121" s="8">
        <f t="shared" si="14"/>
        <v>125</v>
      </c>
      <c r="K121" s="27"/>
    </row>
    <row r="122" spans="1:10" ht="12.75">
      <c r="A122" s="23" t="s">
        <v>19</v>
      </c>
      <c r="B122" s="20" t="s">
        <v>79</v>
      </c>
      <c r="C122" s="21">
        <f aca="true" t="shared" si="15" ref="C122:J122">C34</f>
        <v>0</v>
      </c>
      <c r="D122" s="21">
        <f t="shared" si="15"/>
        <v>0</v>
      </c>
      <c r="E122" s="21">
        <f t="shared" si="15"/>
        <v>0</v>
      </c>
      <c r="F122" s="21">
        <f t="shared" si="15"/>
        <v>0</v>
      </c>
      <c r="G122" s="41">
        <f t="shared" si="15"/>
        <v>100</v>
      </c>
      <c r="H122" s="21">
        <f t="shared" si="15"/>
        <v>0</v>
      </c>
      <c r="I122" s="21">
        <f t="shared" si="15"/>
        <v>100</v>
      </c>
      <c r="J122" s="21">
        <f t="shared" si="15"/>
        <v>0</v>
      </c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29" t="s">
        <v>8</v>
      </c>
      <c r="C124" s="30">
        <f aca="true" t="shared" si="16" ref="C124:J124">SUM(C119:C122)</f>
        <v>163200.78</v>
      </c>
      <c r="D124" s="30">
        <f t="shared" si="16"/>
        <v>0</v>
      </c>
      <c r="E124" s="30">
        <f t="shared" si="16"/>
        <v>163200.78</v>
      </c>
      <c r="F124" s="30">
        <f t="shared" si="16"/>
        <v>113111.25</v>
      </c>
      <c r="G124" s="42">
        <f t="shared" si="16"/>
        <v>280787.05</v>
      </c>
      <c r="H124" s="30">
        <f t="shared" si="16"/>
        <v>0</v>
      </c>
      <c r="I124" s="30">
        <f t="shared" si="16"/>
        <v>280787.05</v>
      </c>
      <c r="J124" s="30">
        <f t="shared" si="16"/>
        <v>264447.5</v>
      </c>
    </row>
    <row r="125" spans="1:10" ht="5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6" t="s">
        <v>22</v>
      </c>
      <c r="B126" s="17" t="s">
        <v>122</v>
      </c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8" t="s">
        <v>23</v>
      </c>
      <c r="B128" s="15" t="s">
        <v>144</v>
      </c>
      <c r="C128" s="19">
        <f aca="true" t="shared" si="17" ref="C128:J128">C54</f>
        <v>9651.44</v>
      </c>
      <c r="D128" s="19">
        <f t="shared" si="17"/>
        <v>0</v>
      </c>
      <c r="E128" s="19">
        <f t="shared" si="17"/>
        <v>9651.44</v>
      </c>
      <c r="F128" s="19">
        <f t="shared" si="17"/>
        <v>19584.95</v>
      </c>
      <c r="G128" s="35">
        <f t="shared" si="17"/>
        <v>23278.839999999997</v>
      </c>
      <c r="H128" s="19">
        <f t="shared" si="17"/>
        <v>0</v>
      </c>
      <c r="I128" s="19">
        <f t="shared" si="17"/>
        <v>23278.839999999997</v>
      </c>
      <c r="J128" s="19">
        <f t="shared" si="17"/>
        <v>38659.450000000004</v>
      </c>
    </row>
    <row r="129" spans="1:10" ht="12.75">
      <c r="A129" s="18" t="s">
        <v>31</v>
      </c>
      <c r="B129" s="15" t="s">
        <v>80</v>
      </c>
      <c r="C129" s="8">
        <f aca="true" t="shared" si="18" ref="C129:J129">C99</f>
        <v>78002.49</v>
      </c>
      <c r="D129" s="8">
        <f t="shared" si="18"/>
        <v>0</v>
      </c>
      <c r="E129" s="8">
        <f t="shared" si="18"/>
        <v>78002.49</v>
      </c>
      <c r="F129" s="8">
        <f t="shared" si="18"/>
        <v>79805</v>
      </c>
      <c r="G129" s="39">
        <f t="shared" si="18"/>
        <v>192573.93000000002</v>
      </c>
      <c r="H129" s="8">
        <f t="shared" si="18"/>
        <v>0</v>
      </c>
      <c r="I129" s="8">
        <f t="shared" si="18"/>
        <v>192573.93000000002</v>
      </c>
      <c r="J129" s="8">
        <f t="shared" si="18"/>
        <v>152913.75</v>
      </c>
    </row>
    <row r="130" spans="1:10" ht="12.75">
      <c r="A130" s="18" t="s">
        <v>66</v>
      </c>
      <c r="B130" s="15" t="s">
        <v>123</v>
      </c>
      <c r="C130" s="21">
        <f aca="true" t="shared" si="19" ref="C130:J130">C106</f>
        <v>64211.19</v>
      </c>
      <c r="D130" s="21">
        <f t="shared" si="19"/>
        <v>0</v>
      </c>
      <c r="E130" s="21">
        <f t="shared" si="19"/>
        <v>64211.19</v>
      </c>
      <c r="F130" s="21">
        <f t="shared" si="19"/>
        <v>0</v>
      </c>
      <c r="G130" s="41">
        <f t="shared" si="19"/>
        <v>90082.94</v>
      </c>
      <c r="H130" s="21"/>
      <c r="I130" s="21">
        <f t="shared" si="19"/>
        <v>90082.94</v>
      </c>
      <c r="J130" s="21">
        <f t="shared" si="19"/>
        <v>0</v>
      </c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29" t="s">
        <v>8</v>
      </c>
      <c r="C132" s="30">
        <f aca="true" t="shared" si="20" ref="C132:J132">SUM(C128:C130)</f>
        <v>151865.12</v>
      </c>
      <c r="D132" s="30">
        <f t="shared" si="20"/>
        <v>0</v>
      </c>
      <c r="E132" s="30">
        <f t="shared" si="20"/>
        <v>151865.12</v>
      </c>
      <c r="F132" s="30">
        <f t="shared" si="20"/>
        <v>99389.95</v>
      </c>
      <c r="G132" s="42">
        <f t="shared" si="20"/>
        <v>305935.71</v>
      </c>
      <c r="H132" s="30">
        <f t="shared" si="20"/>
        <v>0</v>
      </c>
      <c r="I132" s="30">
        <f t="shared" si="20"/>
        <v>305935.71</v>
      </c>
      <c r="J132" s="30">
        <f t="shared" si="20"/>
        <v>191573.2</v>
      </c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7" t="s">
        <v>81</v>
      </c>
      <c r="C134" s="30">
        <f aca="true" t="shared" si="21" ref="C134:J134">SUM(C124,-C132)</f>
        <v>11335.660000000003</v>
      </c>
      <c r="D134" s="30">
        <f t="shared" si="21"/>
        <v>0</v>
      </c>
      <c r="E134" s="30">
        <f t="shared" si="21"/>
        <v>11335.660000000003</v>
      </c>
      <c r="F134" s="30">
        <f t="shared" si="21"/>
        <v>13721.300000000003</v>
      </c>
      <c r="G134" s="42">
        <f t="shared" si="21"/>
        <v>-25148.660000000033</v>
      </c>
      <c r="H134" s="30">
        <f t="shared" si="21"/>
        <v>0</v>
      </c>
      <c r="I134" s="30">
        <f t="shared" si="21"/>
        <v>-25148.660000000033</v>
      </c>
      <c r="J134" s="30">
        <f t="shared" si="21"/>
        <v>72874.29999999999</v>
      </c>
    </row>
    <row r="136" spans="1:10" ht="12.75">
      <c r="A136" s="47"/>
      <c r="B136" s="47" t="s">
        <v>82</v>
      </c>
      <c r="C136" s="51"/>
      <c r="D136" s="51"/>
      <c r="E136" s="50">
        <v>-382181.54</v>
      </c>
      <c r="F136" s="51"/>
      <c r="G136" s="51"/>
      <c r="H136" s="51"/>
      <c r="I136" s="50">
        <v>-364966</v>
      </c>
      <c r="J136"/>
    </row>
    <row r="137" spans="1:10" ht="12.75">
      <c r="A137" s="47"/>
      <c r="B137" s="47"/>
      <c r="C137" s="47"/>
      <c r="D137" s="47"/>
      <c r="E137" s="47"/>
      <c r="F137" s="47"/>
      <c r="G137" s="47"/>
      <c r="H137" s="47"/>
      <c r="I137" s="47"/>
      <c r="J137"/>
    </row>
    <row r="138" spans="1:10" ht="12.75">
      <c r="A138" s="47" t="s">
        <v>83</v>
      </c>
      <c r="B138" s="47" t="s">
        <v>177</v>
      </c>
      <c r="C138" s="47"/>
      <c r="D138" s="47"/>
      <c r="E138" s="47"/>
      <c r="F138" s="47"/>
      <c r="G138" s="47"/>
      <c r="H138" s="47"/>
      <c r="I138" s="47"/>
      <c r="J138"/>
    </row>
    <row r="139" spans="1:10" ht="12.75">
      <c r="A139" s="47"/>
      <c r="B139" s="47" t="s">
        <v>202</v>
      </c>
      <c r="C139" s="47"/>
      <c r="D139" s="47"/>
      <c r="E139" s="47"/>
      <c r="F139" s="47"/>
      <c r="G139" s="47"/>
      <c r="H139" s="47"/>
      <c r="I139" s="47"/>
      <c r="J139"/>
    </row>
    <row r="140" spans="1:10" ht="12.75">
      <c r="A140" s="47"/>
      <c r="B140" s="47"/>
      <c r="C140" s="47"/>
      <c r="D140" s="47"/>
      <c r="E140" s="47"/>
      <c r="F140" s="47"/>
      <c r="G140" s="47"/>
      <c r="H140" s="47"/>
      <c r="I140" s="47"/>
      <c r="J140"/>
    </row>
    <row r="141" spans="1:10" ht="12.75">
      <c r="A141" s="47"/>
      <c r="B141" s="47"/>
      <c r="C141" s="51"/>
      <c r="D141" s="51"/>
      <c r="E141" s="50">
        <f>SUM(E138:E140)</f>
        <v>0</v>
      </c>
      <c r="F141" s="51"/>
      <c r="G141" s="51"/>
      <c r="H141" s="51"/>
      <c r="I141" s="50">
        <f>SUM(I138:I140)</f>
        <v>0</v>
      </c>
      <c r="J141"/>
    </row>
    <row r="142" spans="1:10" ht="12.75">
      <c r="A142" s="47"/>
      <c r="B142" s="47"/>
      <c r="C142" s="51"/>
      <c r="D142" s="51"/>
      <c r="E142" s="51"/>
      <c r="F142" s="51"/>
      <c r="G142" s="51"/>
      <c r="H142" s="51"/>
      <c r="I142" s="51"/>
      <c r="J142"/>
    </row>
    <row r="143" spans="1:10" ht="12.75">
      <c r="A143" s="47" t="s">
        <v>84</v>
      </c>
      <c r="B143" s="47" t="s">
        <v>85</v>
      </c>
      <c r="C143" s="47"/>
      <c r="D143" s="47"/>
      <c r="E143" s="50">
        <f>E134</f>
        <v>11335.660000000003</v>
      </c>
      <c r="F143" s="47"/>
      <c r="G143" s="47"/>
      <c r="H143" s="47"/>
      <c r="I143" s="50">
        <f>I134</f>
        <v>-25148.660000000033</v>
      </c>
      <c r="J143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/>
    </row>
    <row r="145" spans="1:10" ht="12.75">
      <c r="A145" s="48"/>
      <c r="B145" s="49" t="s">
        <v>86</v>
      </c>
      <c r="C145" s="51"/>
      <c r="D145" s="49"/>
      <c r="E145" s="81">
        <f>E136-E141+E143</f>
        <v>-370845.88</v>
      </c>
      <c r="F145" s="49"/>
      <c r="G145" s="49"/>
      <c r="H145" s="49"/>
      <c r="I145" s="81">
        <f>I136-I141+I143</f>
        <v>-390114.66000000003</v>
      </c>
      <c r="J145"/>
    </row>
    <row r="146" spans="1:10" ht="12.75">
      <c r="A146" s="48"/>
      <c r="B146" s="48"/>
      <c r="C146" s="48"/>
      <c r="D146" s="48"/>
      <c r="E146" s="48"/>
      <c r="F146" s="48"/>
      <c r="G146" s="48"/>
      <c r="H146" s="48"/>
      <c r="I146" s="48"/>
      <c r="J146"/>
    </row>
    <row r="147" spans="1:10" ht="12.75">
      <c r="A147" s="48"/>
      <c r="B147" s="48" t="s">
        <v>87</v>
      </c>
      <c r="C147" s="48"/>
      <c r="D147" s="48"/>
      <c r="E147" s="81">
        <f>F13*4</f>
        <v>420845</v>
      </c>
      <c r="F147" s="48"/>
      <c r="G147" s="48"/>
      <c r="H147" s="48"/>
      <c r="I147" s="83">
        <f>E147</f>
        <v>420845</v>
      </c>
      <c r="J147"/>
    </row>
    <row r="148" spans="1:10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1" ht="12.75">
      <c r="A149" s="48"/>
      <c r="B149" s="48" t="s">
        <v>88</v>
      </c>
      <c r="C149" s="48"/>
      <c r="D149" s="48"/>
      <c r="E149" s="112">
        <f>(IF(AND(E147=""),"",(E145/E147)))</f>
        <v>-0.8811935035464363</v>
      </c>
      <c r="F149" s="48"/>
      <c r="G149" s="48"/>
      <c r="H149" s="48"/>
      <c r="I149" s="112">
        <f>IF(AND(I147=""),"",(I145/I147))</f>
        <v>-0.9269794342335065</v>
      </c>
      <c r="J149" s="48"/>
      <c r="K149" s="82"/>
    </row>
    <row r="150" spans="1:11" ht="12.75">
      <c r="A150" s="48"/>
      <c r="B150" s="48"/>
      <c r="C150" s="48"/>
      <c r="D150" s="48"/>
      <c r="E150" s="82"/>
      <c r="F150" s="48"/>
      <c r="G150" s="48"/>
      <c r="H150" s="48"/>
      <c r="I150" s="82"/>
      <c r="J150" s="48"/>
      <c r="K150" s="82"/>
    </row>
    <row r="151" spans="1:11" ht="12.75">
      <c r="A151" s="48"/>
      <c r="B151" s="48"/>
      <c r="C151" s="48"/>
      <c r="D151" s="48"/>
      <c r="E151" s="82"/>
      <c r="F151" s="48"/>
      <c r="G151" s="48"/>
      <c r="H151" s="48"/>
      <c r="I151" s="82"/>
      <c r="J151" s="48"/>
      <c r="K151" s="82"/>
    </row>
    <row r="152" spans="1:10" s="47" customFormat="1" ht="13.5" customHeight="1">
      <c r="A152" s="48"/>
      <c r="B152" s="48" t="s">
        <v>183</v>
      </c>
      <c r="C152" s="48"/>
      <c r="E152" s="97">
        <f>141635/4</f>
        <v>35408.75</v>
      </c>
      <c r="F152" s="97"/>
      <c r="G152" s="97"/>
      <c r="H152" s="97"/>
      <c r="I152" s="97">
        <f>19165.14+35408.75</f>
        <v>54573.89</v>
      </c>
      <c r="J152" s="48"/>
    </row>
    <row r="153" spans="1:10" s="47" customFormat="1" ht="13.5" customHeight="1">
      <c r="A153" s="48"/>
      <c r="B153" s="48"/>
      <c r="C153" s="48"/>
      <c r="D153" s="48"/>
      <c r="E153" s="97"/>
      <c r="F153" s="48"/>
      <c r="G153" s="48"/>
      <c r="H153" s="48"/>
      <c r="I153" s="97"/>
      <c r="J153" s="48"/>
    </row>
    <row r="154" spans="1:10" s="47" customFormat="1" ht="13.5" customHeight="1">
      <c r="A154" s="48"/>
      <c r="B154" s="48" t="s">
        <v>184</v>
      </c>
      <c r="C154" s="48"/>
      <c r="D154" s="48" t="s">
        <v>185</v>
      </c>
      <c r="E154" s="98">
        <v>2</v>
      </c>
      <c r="F154" s="48"/>
      <c r="G154" s="48"/>
      <c r="H154" s="48" t="s">
        <v>186</v>
      </c>
      <c r="I154" s="100">
        <v>1</v>
      </c>
      <c r="J154" s="48"/>
    </row>
    <row r="155" spans="1:10" s="47" customFormat="1" ht="13.5" customHeight="1">
      <c r="A155" s="48"/>
      <c r="B155" s="48"/>
      <c r="C155" s="48"/>
      <c r="D155" s="48"/>
      <c r="E155" s="98"/>
      <c r="F155" s="48"/>
      <c r="G155" s="48"/>
      <c r="H155" s="48"/>
      <c r="I155" s="98"/>
      <c r="J155" s="48"/>
    </row>
    <row r="156" spans="1:10" ht="12.75">
      <c r="A156" s="5" t="s">
        <v>89</v>
      </c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>
        <v>1</v>
      </c>
      <c r="B157" s="5" t="s">
        <v>90</v>
      </c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>
        <v>2</v>
      </c>
      <c r="B158" s="5" t="s">
        <v>91</v>
      </c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 t="s">
        <v>92</v>
      </c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>
        <v>3</v>
      </c>
      <c r="B160" s="5" t="s">
        <v>178</v>
      </c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 t="s">
        <v>93</v>
      </c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 t="s">
        <v>179</v>
      </c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 t="s">
        <v>94</v>
      </c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 t="s">
        <v>180</v>
      </c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 t="s">
        <v>95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68"/>
      <c r="B175" s="68"/>
      <c r="C175" s="5"/>
      <c r="D175" s="5"/>
      <c r="E175" s="5"/>
      <c r="F175" s="68"/>
      <c r="G175" s="68"/>
      <c r="H175" s="68"/>
      <c r="I175" s="5"/>
      <c r="J175" s="107">
        <v>42185</v>
      </c>
    </row>
    <row r="176" spans="1:10" ht="12.75">
      <c r="A176" s="118" t="s">
        <v>211</v>
      </c>
      <c r="B176" s="118"/>
      <c r="C176" s="5"/>
      <c r="D176" s="5"/>
      <c r="E176" s="5"/>
      <c r="F176" s="113" t="s">
        <v>209</v>
      </c>
      <c r="G176" s="70"/>
      <c r="H176" s="70"/>
      <c r="I176" s="5"/>
      <c r="J176" s="5" t="s">
        <v>73</v>
      </c>
    </row>
    <row r="177" spans="1:10" ht="12.75">
      <c r="A177" s="119" t="s">
        <v>96</v>
      </c>
      <c r="B177" s="119"/>
      <c r="C177" s="5"/>
      <c r="D177" s="5"/>
      <c r="E177" s="5"/>
      <c r="F177" s="114" t="s">
        <v>210</v>
      </c>
      <c r="G177" s="69"/>
      <c r="H177" s="69"/>
      <c r="I177" s="5"/>
      <c r="J177" s="5"/>
    </row>
    <row r="178" spans="1:10" ht="12.75">
      <c r="A178" s="5"/>
      <c r="B178" s="5"/>
      <c r="C178" s="5"/>
      <c r="D178" s="5"/>
      <c r="E178" s="5"/>
      <c r="F178" s="106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</sheetData>
  <sheetProtection/>
  <mergeCells count="3">
    <mergeCell ref="C6:F6"/>
    <mergeCell ref="A176:B176"/>
    <mergeCell ref="A177:B177"/>
  </mergeCells>
  <printOptions/>
  <pageMargins left="0.5905511811023623" right="0.2755905511811024" top="0.8661417322834646" bottom="0.6692913385826772" header="0.3937007874015748" footer="0.4330708661417323"/>
  <pageSetup horizontalDpi="300" verticalDpi="300" orientation="portrait" paperSize="9" scale="80" r:id="rId1"/>
  <headerFooter alignWithMargins="0">
    <oddHeader>&amp;LKunsill Lokali Nadur
Rapport Ghal April - Gunju 2015</oddHeader>
    <oddFooter>&amp;CPage &amp;P</oddFooter>
  </headerFooter>
  <rowBreaks count="2" manualBreakCount="2">
    <brk id="37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Asus</cp:lastModifiedBy>
  <cp:lastPrinted>2015-07-24T17:15:37Z</cp:lastPrinted>
  <dcterms:created xsi:type="dcterms:W3CDTF">2002-01-03T14:53:04Z</dcterms:created>
  <dcterms:modified xsi:type="dcterms:W3CDTF">2016-02-21T13:22:08Z</dcterms:modified>
  <cp:category/>
  <cp:version/>
  <cp:contentType/>
  <cp:contentStatus/>
</cp:coreProperties>
</file>